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Treikė\Downloads\"/>
    </mc:Choice>
  </mc:AlternateContent>
  <xr:revisionPtr revIDLastSave="0" documentId="13_ncr:1_{66D6D169-D987-43C7-9F4B-5D516F7DF3B7}" xr6:coauthVersionLast="47" xr6:coauthVersionMax="47" xr10:uidLastSave="{00000000-0000-0000-0000-000000000000}"/>
  <bookViews>
    <workbookView xWindow="-108" yWindow="-108" windowWidth="23256" windowHeight="13896" tabRatio="742" xr2:uid="{00000000-000D-0000-FFFF-FFFF00000000}"/>
  </bookViews>
  <sheets>
    <sheet name="09.25-09.27" sheetId="41" r:id="rId1"/>
    <sheet name="09.18-09.20" sheetId="40" r:id="rId2"/>
    <sheet name="09.11-09.13" sheetId="39" r:id="rId3"/>
    <sheet name="09.04-09.06" sheetId="38" r:id="rId4"/>
    <sheet name="08.28-08.30" sheetId="37" r:id="rId5"/>
    <sheet name="08.21-08.23" sheetId="36" r:id="rId6"/>
    <sheet name="08.14-08.16" sheetId="35" r:id="rId7"/>
    <sheet name="08.07-08.09" sheetId="34" r:id="rId8"/>
    <sheet name="07.31-08.02" sheetId="33" r:id="rId9"/>
    <sheet name="07.24-07.26" sheetId="32" r:id="rId10"/>
    <sheet name="07.17-07.19" sheetId="31" r:id="rId11"/>
    <sheet name="07.10-07.12" sheetId="30" r:id="rId12"/>
    <sheet name="07.03-07.05" sheetId="29" r:id="rId13"/>
    <sheet name="06.26-06.28" sheetId="28" r:id="rId14"/>
    <sheet name="06.19-06.21" sheetId="27" r:id="rId15"/>
    <sheet name="06.12-06.14" sheetId="26" r:id="rId16"/>
    <sheet name="06.05-06.07" sheetId="25" r:id="rId17"/>
    <sheet name="05.29-05.31" sheetId="24" r:id="rId18"/>
    <sheet name="05.22-05.24" sheetId="22" r:id="rId19"/>
    <sheet name="05.15-05.17" sheetId="21" r:id="rId20"/>
    <sheet name="05.08-05.10" sheetId="20" r:id="rId21"/>
    <sheet name="05.01-05.03" sheetId="19" r:id="rId22"/>
    <sheet name="04.24-04.26" sheetId="18" r:id="rId23"/>
    <sheet name="04.17-04.19" sheetId="17" r:id="rId24"/>
    <sheet name="04.10-04.12" sheetId="16" r:id="rId25"/>
    <sheet name="04.03-04.05" sheetId="15" r:id="rId26"/>
    <sheet name="03.27-03.29" sheetId="14" r:id="rId27"/>
    <sheet name="03.20-03.22" sheetId="13" r:id="rId28"/>
    <sheet name="03.13-03.15" sheetId="12" r:id="rId29"/>
    <sheet name="03.06-03.08" sheetId="11" r:id="rId30"/>
    <sheet name="02.27-03.01" sheetId="10" r:id="rId31"/>
    <sheet name="02.20-02.22" sheetId="9" r:id="rId32"/>
    <sheet name="02.13-02.15" sheetId="8" r:id="rId33"/>
    <sheet name="02.06-02.08" sheetId="7" r:id="rId34"/>
    <sheet name="01.30-02.01" sheetId="6" r:id="rId35"/>
    <sheet name="01.23-01.25" sheetId="5" r:id="rId36"/>
    <sheet name="01.16-01.18" sheetId="4" r:id="rId37"/>
    <sheet name="01.09-01.11" sheetId="3" r:id="rId38"/>
    <sheet name="01.02-01.04" sheetId="2" r:id="rId3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41" l="1"/>
  <c r="F7" i="41"/>
  <c r="F11" i="41"/>
  <c r="F15" i="41"/>
  <c r="F10" i="41"/>
  <c r="F17" i="41"/>
  <c r="F19" i="41"/>
  <c r="F26" i="41"/>
  <c r="F31" i="41"/>
  <c r="F16" i="41"/>
  <c r="F24" i="41"/>
  <c r="F20" i="41"/>
  <c r="F21" i="41"/>
  <c r="F28" i="41"/>
  <c r="F29" i="41"/>
  <c r="F30" i="41"/>
  <c r="F18" i="41"/>
  <c r="F13" i="41"/>
  <c r="F12" i="41"/>
  <c r="F9" i="41"/>
  <c r="F14" i="41"/>
  <c r="F23" i="41"/>
  <c r="F22" i="41"/>
  <c r="F25" i="41"/>
  <c r="I32" i="40"/>
  <c r="I30" i="41"/>
  <c r="I6" i="41" l="1"/>
  <c r="I3" i="41"/>
  <c r="I4" i="41"/>
  <c r="I27" i="41"/>
  <c r="I8" i="41"/>
  <c r="G33" i="41"/>
  <c r="E33" i="41"/>
  <c r="D33" i="41"/>
  <c r="I31" i="41"/>
  <c r="I22" i="41"/>
  <c r="I29" i="41"/>
  <c r="I26" i="41"/>
  <c r="I23" i="41"/>
  <c r="I21" i="41"/>
  <c r="I7" i="41"/>
  <c r="I20" i="41"/>
  <c r="I24" i="41"/>
  <c r="I25" i="41"/>
  <c r="I18" i="41"/>
  <c r="I14" i="41"/>
  <c r="I13" i="41"/>
  <c r="I16" i="41"/>
  <c r="I12" i="41"/>
  <c r="I9" i="41"/>
  <c r="I10" i="41"/>
  <c r="I5" i="41"/>
  <c r="I24" i="40"/>
  <c r="I14" i="40"/>
  <c r="I35" i="40"/>
  <c r="F8" i="40"/>
  <c r="F33" i="40"/>
  <c r="F23" i="40"/>
  <c r="F27" i="40"/>
  <c r="F4" i="40"/>
  <c r="F7" i="40"/>
  <c r="F13" i="40"/>
  <c r="F29" i="40"/>
  <c r="F17" i="40"/>
  <c r="F34" i="40"/>
  <c r="F10" i="40"/>
  <c r="F5" i="40"/>
  <c r="F12" i="40"/>
  <c r="F31" i="40"/>
  <c r="F11" i="40"/>
  <c r="F16" i="40"/>
  <c r="F26" i="40"/>
  <c r="F15" i="40"/>
  <c r="F25" i="40"/>
  <c r="F19" i="40"/>
  <c r="F28" i="40"/>
  <c r="F30" i="40"/>
  <c r="F22" i="40"/>
  <c r="F20" i="40"/>
  <c r="I34" i="39"/>
  <c r="F33" i="41" l="1"/>
  <c r="I3" i="40"/>
  <c r="I18" i="40"/>
  <c r="I21" i="40"/>
  <c r="G36" i="40"/>
  <c r="E36" i="40"/>
  <c r="D36" i="40"/>
  <c r="I34" i="40"/>
  <c r="I31" i="40"/>
  <c r="I27" i="40"/>
  <c r="I29" i="40"/>
  <c r="I28" i="40"/>
  <c r="I23" i="40"/>
  <c r="I33" i="40"/>
  <c r="I19" i="40"/>
  <c r="I22" i="40"/>
  <c r="I25" i="40"/>
  <c r="I30" i="40"/>
  <c r="I20" i="40"/>
  <c r="I17" i="40"/>
  <c r="I12" i="40"/>
  <c r="I10" i="40"/>
  <c r="I13" i="40"/>
  <c r="I8" i="40"/>
  <c r="I15" i="40"/>
  <c r="I7" i="40"/>
  <c r="I5" i="40"/>
  <c r="I4" i="40"/>
  <c r="I17" i="39"/>
  <c r="F20" i="39"/>
  <c r="F25" i="39"/>
  <c r="F27" i="39"/>
  <c r="F22" i="39"/>
  <c r="F5" i="39"/>
  <c r="F9" i="39"/>
  <c r="F24" i="39"/>
  <c r="F13" i="39"/>
  <c r="F31" i="39"/>
  <c r="F10" i="39"/>
  <c r="F4" i="39"/>
  <c r="F12" i="39"/>
  <c r="F28" i="39"/>
  <c r="F30" i="39"/>
  <c r="F21" i="39"/>
  <c r="F7" i="39"/>
  <c r="F19" i="39"/>
  <c r="F26" i="39"/>
  <c r="F23" i="39"/>
  <c r="F18" i="39"/>
  <c r="F29" i="39"/>
  <c r="F8" i="39"/>
  <c r="F31" i="38"/>
  <c r="I31" i="38"/>
  <c r="F36" i="40" l="1"/>
  <c r="I15" i="39"/>
  <c r="I16" i="39"/>
  <c r="I29" i="39"/>
  <c r="I3" i="39"/>
  <c r="I14" i="39"/>
  <c r="I33" i="39"/>
  <c r="G35" i="39"/>
  <c r="E35" i="39"/>
  <c r="D35" i="39"/>
  <c r="I31" i="39"/>
  <c r="I30" i="39"/>
  <c r="I28" i="39"/>
  <c r="I23" i="39"/>
  <c r="I24" i="39"/>
  <c r="I26" i="39"/>
  <c r="I22" i="39"/>
  <c r="I27" i="39"/>
  <c r="I25" i="39"/>
  <c r="I20" i="39"/>
  <c r="I19" i="39"/>
  <c r="I12" i="39"/>
  <c r="I13" i="39"/>
  <c r="I18" i="39"/>
  <c r="I8" i="39"/>
  <c r="I10" i="39"/>
  <c r="I9" i="39"/>
  <c r="I7" i="39"/>
  <c r="I5" i="39"/>
  <c r="I4" i="39"/>
  <c r="F14" i="38"/>
  <c r="F17" i="38"/>
  <c r="F18" i="38"/>
  <c r="F4" i="38"/>
  <c r="F6" i="38"/>
  <c r="F20" i="38"/>
  <c r="F10" i="38"/>
  <c r="F30" i="38"/>
  <c r="F33" i="38"/>
  <c r="F21" i="38"/>
  <c r="F23" i="38"/>
  <c r="F22" i="38"/>
  <c r="F7" i="38"/>
  <c r="F3" i="38"/>
  <c r="F11" i="38"/>
  <c r="F25" i="38"/>
  <c r="F32" i="38"/>
  <c r="F27" i="38"/>
  <c r="F15" i="38"/>
  <c r="F12" i="38"/>
  <c r="F19" i="38"/>
  <c r="F24" i="38"/>
  <c r="F9" i="38"/>
  <c r="F26" i="38"/>
  <c r="F16" i="38"/>
  <c r="I5" i="38"/>
  <c r="I13" i="38"/>
  <c r="I28" i="38"/>
  <c r="I8" i="38"/>
  <c r="I29" i="38"/>
  <c r="I34" i="38"/>
  <c r="G35" i="38"/>
  <c r="E35" i="38"/>
  <c r="D35" i="38"/>
  <c r="I33" i="38"/>
  <c r="I30" i="38"/>
  <c r="I27" i="38"/>
  <c r="I32" i="38"/>
  <c r="I23" i="38"/>
  <c r="I24" i="38"/>
  <c r="I21" i="38"/>
  <c r="I18" i="38"/>
  <c r="I26" i="38"/>
  <c r="I20" i="38"/>
  <c r="I17" i="38"/>
  <c r="I19" i="38"/>
  <c r="I14" i="38"/>
  <c r="I16" i="38"/>
  <c r="I12" i="38"/>
  <c r="I11" i="38"/>
  <c r="I10" i="38"/>
  <c r="I9" i="38"/>
  <c r="I7" i="38"/>
  <c r="I6" i="38"/>
  <c r="I3" i="38"/>
  <c r="I4" i="38"/>
  <c r="F5" i="37"/>
  <c r="F15" i="37"/>
  <c r="F17" i="37"/>
  <c r="F24" i="37"/>
  <c r="F25" i="37"/>
  <c r="F38" i="37"/>
  <c r="F39" i="37"/>
  <c r="F6" i="37"/>
  <c r="F4" i="37"/>
  <c r="F9" i="37"/>
  <c r="F22" i="37"/>
  <c r="F32" i="37"/>
  <c r="F34" i="37"/>
  <c r="F30" i="37"/>
  <c r="F33" i="37"/>
  <c r="F37" i="37"/>
  <c r="F36" i="37"/>
  <c r="F14" i="37"/>
  <c r="F28" i="37"/>
  <c r="F23" i="37"/>
  <c r="F31" i="37"/>
  <c r="F3" i="37"/>
  <c r="I36" i="37"/>
  <c r="F35" i="39" l="1"/>
  <c r="F35" i="38"/>
  <c r="I11" i="37"/>
  <c r="I13" i="37"/>
  <c r="I16" i="37"/>
  <c r="I18" i="37"/>
  <c r="I21" i="37"/>
  <c r="I26" i="37"/>
  <c r="I10" i="37"/>
  <c r="I7" i="37"/>
  <c r="I8" i="37"/>
  <c r="I20" i="37"/>
  <c r="I27" i="37"/>
  <c r="I19" i="37"/>
  <c r="I29" i="37"/>
  <c r="G40" i="37" l="1"/>
  <c r="E40" i="37"/>
  <c r="D40" i="37"/>
  <c r="I39" i="37"/>
  <c r="I38" i="37"/>
  <c r="I33" i="37"/>
  <c r="I30" i="37"/>
  <c r="I25" i="37"/>
  <c r="I34" i="37"/>
  <c r="I32" i="37"/>
  <c r="I28" i="37"/>
  <c r="I24" i="37"/>
  <c r="I31" i="37"/>
  <c r="I23" i="37"/>
  <c r="I17" i="37"/>
  <c r="I14" i="37"/>
  <c r="I15" i="37"/>
  <c r="I9" i="37"/>
  <c r="I6" i="37"/>
  <c r="I5" i="37"/>
  <c r="I3" i="37"/>
  <c r="I4" i="37"/>
  <c r="F3" i="36"/>
  <c r="F6" i="36"/>
  <c r="F7" i="36"/>
  <c r="F10" i="36"/>
  <c r="F11" i="36"/>
  <c r="F12" i="36"/>
  <c r="F22" i="36"/>
  <c r="F15" i="36"/>
  <c r="F13" i="36"/>
  <c r="F14" i="36"/>
  <c r="F31" i="36"/>
  <c r="F21" i="36"/>
  <c r="F24" i="36"/>
  <c r="F25" i="36"/>
  <c r="F30" i="36"/>
  <c r="F28" i="36"/>
  <c r="F23" i="36"/>
  <c r="F29" i="36"/>
  <c r="F17" i="36"/>
  <c r="F4" i="36"/>
  <c r="F40" i="37" l="1"/>
  <c r="I17" i="36"/>
  <c r="I16" i="36" l="1"/>
  <c r="I34" i="36"/>
  <c r="I19" i="36"/>
  <c r="I20" i="36"/>
  <c r="I5" i="36"/>
  <c r="I8" i="36"/>
  <c r="I27" i="36"/>
  <c r="I9" i="36"/>
  <c r="I35" i="36"/>
  <c r="I32" i="36"/>
  <c r="I18" i="36"/>
  <c r="I26" i="36"/>
  <c r="I33" i="36"/>
  <c r="G36" i="36"/>
  <c r="E36" i="36"/>
  <c r="D36" i="36"/>
  <c r="I29" i="36"/>
  <c r="I23" i="36"/>
  <c r="I28" i="36"/>
  <c r="I25" i="36"/>
  <c r="I21" i="36"/>
  <c r="I14" i="36"/>
  <c r="I13" i="36"/>
  <c r="I15" i="36"/>
  <c r="I22" i="36"/>
  <c r="I12" i="36"/>
  <c r="I10" i="36"/>
  <c r="I7" i="36"/>
  <c r="I6" i="36"/>
  <c r="I3" i="36"/>
  <c r="I4" i="36"/>
  <c r="F4" i="35"/>
  <c r="F6" i="35"/>
  <c r="F10" i="35"/>
  <c r="F9" i="35"/>
  <c r="F12" i="35"/>
  <c r="F11" i="35"/>
  <c r="F16" i="35"/>
  <c r="F15" i="35"/>
  <c r="F13" i="35"/>
  <c r="F27" i="35"/>
  <c r="F20" i="35"/>
  <c r="F25" i="35"/>
  <c r="F17" i="35"/>
  <c r="F22" i="35"/>
  <c r="F26" i="35"/>
  <c r="F24" i="35"/>
  <c r="F30" i="35"/>
  <c r="F3" i="35"/>
  <c r="F36" i="36" l="1"/>
  <c r="I23" i="34"/>
  <c r="I31" i="35"/>
  <c r="I7" i="35"/>
  <c r="I18" i="35"/>
  <c r="I19" i="35"/>
  <c r="I5" i="35"/>
  <c r="I14" i="35"/>
  <c r="I21" i="35"/>
  <c r="I29" i="35"/>
  <c r="I28" i="35"/>
  <c r="I23" i="35"/>
  <c r="G32" i="35"/>
  <c r="E32" i="35"/>
  <c r="D32" i="35"/>
  <c r="I30" i="35"/>
  <c r="I24" i="35"/>
  <c r="I26" i="35"/>
  <c r="I17" i="35"/>
  <c r="I25" i="35"/>
  <c r="I20" i="35"/>
  <c r="I27" i="35"/>
  <c r="I13" i="35"/>
  <c r="I15" i="35"/>
  <c r="I11" i="35"/>
  <c r="I12" i="35"/>
  <c r="I9" i="35"/>
  <c r="I10" i="35"/>
  <c r="I6" i="35"/>
  <c r="I4" i="35"/>
  <c r="I3" i="35"/>
  <c r="I16" i="34"/>
  <c r="F9" i="34"/>
  <c r="I4" i="34"/>
  <c r="I5" i="34"/>
  <c r="I9" i="34"/>
  <c r="I7" i="34"/>
  <c r="I8" i="34"/>
  <c r="I12" i="34"/>
  <c r="I18" i="34"/>
  <c r="I22" i="34"/>
  <c r="I13" i="34"/>
  <c r="I25" i="34"/>
  <c r="I15" i="34"/>
  <c r="I24" i="34"/>
  <c r="I31" i="34"/>
  <c r="I26" i="34"/>
  <c r="I28" i="34"/>
  <c r="I27" i="34"/>
  <c r="I11" i="34"/>
  <c r="I6" i="34"/>
  <c r="I21" i="34"/>
  <c r="I30" i="34"/>
  <c r="I3" i="34"/>
  <c r="F5" i="34"/>
  <c r="F7" i="34"/>
  <c r="F8" i="34"/>
  <c r="F12" i="34"/>
  <c r="F10" i="34"/>
  <c r="F18" i="34"/>
  <c r="F20" i="34"/>
  <c r="F22" i="34"/>
  <c r="F13" i="34"/>
  <c r="F25" i="34"/>
  <c r="F15" i="34"/>
  <c r="F19" i="34"/>
  <c r="F24" i="34"/>
  <c r="F31" i="34"/>
  <c r="F26" i="34"/>
  <c r="F28" i="34"/>
  <c r="F3" i="34"/>
  <c r="F4" i="34"/>
  <c r="F32" i="35" l="1"/>
  <c r="G32" i="34"/>
  <c r="E32" i="34"/>
  <c r="D32" i="34"/>
  <c r="F32" i="34" l="1"/>
  <c r="F4" i="33" l="1"/>
  <c r="F5" i="33"/>
  <c r="F6" i="33"/>
  <c r="F7" i="33"/>
  <c r="F8" i="33"/>
  <c r="F9" i="33"/>
  <c r="F10" i="33"/>
  <c r="F12" i="33"/>
  <c r="F11" i="33"/>
  <c r="F13" i="33"/>
  <c r="F14" i="33"/>
  <c r="F15" i="33"/>
  <c r="F16" i="33"/>
  <c r="F17" i="33"/>
  <c r="F19" i="33"/>
  <c r="F20" i="33"/>
  <c r="F21" i="33"/>
  <c r="F24" i="33"/>
  <c r="F28" i="33"/>
  <c r="F30" i="33"/>
  <c r="F31" i="33"/>
  <c r="F35" i="33"/>
  <c r="I12" i="33"/>
  <c r="I27" i="33" l="1"/>
  <c r="I22" i="33"/>
  <c r="I26" i="33"/>
  <c r="I23" i="33"/>
  <c r="I18" i="33"/>
  <c r="I29" i="33"/>
  <c r="I3" i="33"/>
  <c r="I25" i="33"/>
  <c r="I32" i="33"/>
  <c r="I34" i="33"/>
  <c r="G36" i="33"/>
  <c r="E36" i="33"/>
  <c r="D36" i="33"/>
  <c r="I28" i="33"/>
  <c r="I30" i="33"/>
  <c r="I35" i="33"/>
  <c r="I20" i="33"/>
  <c r="I24" i="33"/>
  <c r="I31" i="33"/>
  <c r="I15" i="33"/>
  <c r="I14" i="33"/>
  <c r="I16" i="33"/>
  <c r="I17" i="33"/>
  <c r="I13" i="33"/>
  <c r="I9" i="33"/>
  <c r="I8" i="33"/>
  <c r="I6" i="33"/>
  <c r="I5" i="33"/>
  <c r="I4" i="33"/>
  <c r="F31" i="31"/>
  <c r="I31" i="31"/>
  <c r="F20" i="30"/>
  <c r="I21" i="30"/>
  <c r="I20" i="30"/>
  <c r="F24" i="29"/>
  <c r="I24" i="29"/>
  <c r="F36" i="33" l="1"/>
  <c r="F5" i="32" l="1"/>
  <c r="F7" i="32"/>
  <c r="F6" i="32"/>
  <c r="F9" i="32"/>
  <c r="F12" i="32"/>
  <c r="F13" i="32"/>
  <c r="F11" i="32"/>
  <c r="F15" i="32"/>
  <c r="F22" i="32"/>
  <c r="F14" i="32"/>
  <c r="F20" i="32"/>
  <c r="F19" i="32"/>
  <c r="F17" i="32"/>
  <c r="F25" i="32"/>
  <c r="F23" i="32"/>
  <c r="F24" i="32"/>
  <c r="F28" i="32"/>
  <c r="F29" i="32"/>
  <c r="F3" i="32"/>
  <c r="F4" i="32"/>
  <c r="I16" i="32"/>
  <c r="I21" i="32"/>
  <c r="I27" i="32" l="1"/>
  <c r="I30" i="32"/>
  <c r="G31" i="32"/>
  <c r="E31" i="32"/>
  <c r="D31" i="32"/>
  <c r="I29" i="32"/>
  <c r="I28" i="32"/>
  <c r="I24" i="32"/>
  <c r="I25" i="32"/>
  <c r="I17" i="32"/>
  <c r="I19" i="32"/>
  <c r="I20" i="32"/>
  <c r="I14" i="32"/>
  <c r="I22" i="32"/>
  <c r="I15" i="32"/>
  <c r="I11" i="32"/>
  <c r="I13" i="32"/>
  <c r="I12" i="32"/>
  <c r="I9" i="32"/>
  <c r="I6" i="32"/>
  <c r="I7" i="32"/>
  <c r="I4" i="32"/>
  <c r="I3" i="32"/>
  <c r="I17" i="31"/>
  <c r="F5" i="31"/>
  <c r="F7" i="31"/>
  <c r="F8" i="31"/>
  <c r="F6" i="31"/>
  <c r="F9" i="31"/>
  <c r="F11" i="31"/>
  <c r="F14" i="31"/>
  <c r="F12" i="31"/>
  <c r="F16" i="31"/>
  <c r="F13" i="31"/>
  <c r="F18" i="31"/>
  <c r="F23" i="31"/>
  <c r="F24" i="31"/>
  <c r="F21" i="31"/>
  <c r="F26" i="31"/>
  <c r="F25" i="31"/>
  <c r="F30" i="31"/>
  <c r="F28" i="31"/>
  <c r="F4" i="31"/>
  <c r="I20" i="31"/>
  <c r="I19" i="31"/>
  <c r="I22" i="31"/>
  <c r="I3" i="31"/>
  <c r="I10" i="31"/>
  <c r="I15" i="31"/>
  <c r="I29" i="31"/>
  <c r="I32" i="31"/>
  <c r="I27" i="31"/>
  <c r="I33" i="31"/>
  <c r="F31" i="32" l="1"/>
  <c r="G34" i="31"/>
  <c r="E34" i="31"/>
  <c r="D34" i="31"/>
  <c r="I28" i="31"/>
  <c r="I30" i="31"/>
  <c r="I25" i="31"/>
  <c r="I21" i="31"/>
  <c r="I24" i="31"/>
  <c r="I18" i="31"/>
  <c r="I13" i="31"/>
  <c r="I16" i="31"/>
  <c r="I12" i="31"/>
  <c r="I14" i="31"/>
  <c r="I11" i="31"/>
  <c r="I9" i="31"/>
  <c r="I6" i="31"/>
  <c r="I8" i="31"/>
  <c r="I7" i="31"/>
  <c r="I4" i="31"/>
  <c r="F5" i="30"/>
  <c r="F6" i="30"/>
  <c r="F9" i="30"/>
  <c r="F10" i="30"/>
  <c r="F11" i="30"/>
  <c r="F14" i="30"/>
  <c r="F12" i="30"/>
  <c r="F17" i="30"/>
  <c r="F22" i="30"/>
  <c r="F13" i="30"/>
  <c r="F26" i="30"/>
  <c r="F32" i="30"/>
  <c r="F30" i="30"/>
  <c r="F16" i="30"/>
  <c r="F18" i="30"/>
  <c r="F25" i="30"/>
  <c r="F24" i="30"/>
  <c r="F15" i="30"/>
  <c r="F34" i="30"/>
  <c r="F3" i="30"/>
  <c r="F7" i="30"/>
  <c r="F34" i="31" l="1"/>
  <c r="I3" i="30"/>
  <c r="I29" i="30"/>
  <c r="I31" i="30"/>
  <c r="I28" i="30"/>
  <c r="I33" i="30"/>
  <c r="I35" i="30"/>
  <c r="I8" i="30"/>
  <c r="I19" i="30"/>
  <c r="I27" i="30"/>
  <c r="G36" i="30" l="1"/>
  <c r="E36" i="30"/>
  <c r="D36" i="30"/>
  <c r="I34" i="30"/>
  <c r="I15" i="30"/>
  <c r="I24" i="30"/>
  <c r="I18" i="30"/>
  <c r="I30" i="30"/>
  <c r="I32" i="30"/>
  <c r="I13" i="30"/>
  <c r="I22" i="30"/>
  <c r="I17" i="30"/>
  <c r="I12" i="30"/>
  <c r="I14" i="30"/>
  <c r="I11" i="30"/>
  <c r="I10" i="30"/>
  <c r="I9" i="30"/>
  <c r="I6" i="30"/>
  <c r="I5" i="30"/>
  <c r="I7" i="30"/>
  <c r="F5" i="29"/>
  <c r="F12" i="29"/>
  <c r="F10" i="29"/>
  <c r="F11" i="29"/>
  <c r="F9" i="29"/>
  <c r="F7" i="29"/>
  <c r="F15" i="29"/>
  <c r="F8" i="29"/>
  <c r="F14" i="29"/>
  <c r="F17" i="29"/>
  <c r="F27" i="29"/>
  <c r="F19" i="29"/>
  <c r="F23" i="29"/>
  <c r="F21" i="29"/>
  <c r="F22" i="29"/>
  <c r="F30" i="29"/>
  <c r="F25" i="29"/>
  <c r="F31" i="29"/>
  <c r="F28" i="29"/>
  <c r="F4" i="29"/>
  <c r="F36" i="30" l="1"/>
  <c r="I3" i="29"/>
  <c r="I13" i="29"/>
  <c r="I16" i="29"/>
  <c r="I6" i="29"/>
  <c r="I18" i="29"/>
  <c r="I20" i="29"/>
  <c r="I26" i="29"/>
  <c r="I29" i="29"/>
  <c r="G32" i="29"/>
  <c r="E32" i="29"/>
  <c r="D32" i="29"/>
  <c r="I28" i="29"/>
  <c r="I31" i="29"/>
  <c r="I30" i="29"/>
  <c r="I21" i="29"/>
  <c r="I23" i="29"/>
  <c r="I19" i="29"/>
  <c r="I27" i="29"/>
  <c r="I17" i="29"/>
  <c r="I14" i="29"/>
  <c r="I8" i="29"/>
  <c r="I7" i="29"/>
  <c r="I9" i="29"/>
  <c r="I11" i="29"/>
  <c r="I10" i="29"/>
  <c r="I12" i="29"/>
  <c r="I5" i="29"/>
  <c r="I4" i="29"/>
  <c r="D39" i="28"/>
  <c r="F32" i="29" l="1"/>
  <c r="F22" i="28"/>
  <c r="I22" i="28"/>
  <c r="I23" i="28"/>
  <c r="I6" i="28"/>
  <c r="F7" i="28"/>
  <c r="F8" i="28"/>
  <c r="F11" i="28"/>
  <c r="F9" i="28"/>
  <c r="F12" i="28"/>
  <c r="F15" i="28"/>
  <c r="F26" i="28"/>
  <c r="F14" i="28"/>
  <c r="F24" i="28"/>
  <c r="F17" i="28"/>
  <c r="F20" i="28"/>
  <c r="F19" i="28"/>
  <c r="F32" i="28"/>
  <c r="F16" i="28"/>
  <c r="F28" i="28"/>
  <c r="F30" i="28"/>
  <c r="F36" i="28"/>
  <c r="F25" i="28"/>
  <c r="F29" i="28"/>
  <c r="F37" i="28"/>
  <c r="F3" i="28"/>
  <c r="F4" i="28"/>
  <c r="I33" i="28"/>
  <c r="I27" i="28"/>
  <c r="I31" i="28"/>
  <c r="I13" i="28"/>
  <c r="I35" i="28"/>
  <c r="I5" i="28"/>
  <c r="I18" i="28"/>
  <c r="I34" i="28"/>
  <c r="G39" i="28"/>
  <c r="E39" i="28"/>
  <c r="F39" i="28" s="1"/>
  <c r="I37" i="28"/>
  <c r="I29" i="28"/>
  <c r="I25" i="28"/>
  <c r="I36" i="28"/>
  <c r="I28" i="28"/>
  <c r="I16" i="28"/>
  <c r="I19" i="28"/>
  <c r="I17" i="28"/>
  <c r="I24" i="28"/>
  <c r="I14" i="28"/>
  <c r="I26" i="28"/>
  <c r="I15" i="28"/>
  <c r="I12" i="28"/>
  <c r="I9" i="28"/>
  <c r="I11" i="28"/>
  <c r="I8" i="28"/>
  <c r="I7" i="28"/>
  <c r="I4" i="28"/>
  <c r="I3" i="28"/>
  <c r="I3" i="27"/>
  <c r="I17" i="27"/>
  <c r="I6" i="27" l="1"/>
  <c r="I4" i="27"/>
  <c r="F8" i="27"/>
  <c r="F7" i="27"/>
  <c r="F12" i="27"/>
  <c r="F10" i="27"/>
  <c r="F9" i="27"/>
  <c r="F14" i="27"/>
  <c r="F16" i="27"/>
  <c r="F15" i="27"/>
  <c r="F18" i="27"/>
  <c r="F20" i="27"/>
  <c r="F21" i="27"/>
  <c r="F22" i="27"/>
  <c r="F26" i="27"/>
  <c r="F25" i="27"/>
  <c r="F36" i="27"/>
  <c r="F28" i="27"/>
  <c r="F27" i="27"/>
  <c r="F34" i="27"/>
  <c r="F24" i="27"/>
  <c r="F5" i="27"/>
  <c r="F4" i="27"/>
  <c r="F6" i="27"/>
  <c r="I36" i="27"/>
  <c r="I11" i="27"/>
  <c r="I13" i="27"/>
  <c r="I32" i="27"/>
  <c r="I33" i="27"/>
  <c r="I29" i="27"/>
  <c r="I30" i="27"/>
  <c r="I31" i="27"/>
  <c r="I37" i="27"/>
  <c r="I35" i="27"/>
  <c r="I38" i="27"/>
  <c r="I39" i="27"/>
  <c r="I7" i="27"/>
  <c r="G40" i="27"/>
  <c r="E40" i="27"/>
  <c r="D40" i="27"/>
  <c r="I24" i="27"/>
  <c r="I34" i="27"/>
  <c r="I27" i="27"/>
  <c r="I28" i="27"/>
  <c r="I25" i="27"/>
  <c r="I22" i="27"/>
  <c r="I21" i="27"/>
  <c r="I20" i="27"/>
  <c r="I18" i="27"/>
  <c r="I16" i="27"/>
  <c r="I14" i="27"/>
  <c r="I9" i="27"/>
  <c r="I10" i="27"/>
  <c r="I12" i="27"/>
  <c r="I8" i="27"/>
  <c r="I5" i="27"/>
  <c r="I30" i="26"/>
  <c r="I37" i="26"/>
  <c r="I21" i="26"/>
  <c r="I36" i="26"/>
  <c r="I18" i="26"/>
  <c r="I24" i="26"/>
  <c r="I25" i="26"/>
  <c r="I31" i="26"/>
  <c r="I29" i="26"/>
  <c r="I34" i="26"/>
  <c r="I33" i="26"/>
  <c r="I32" i="26"/>
  <c r="I26" i="26"/>
  <c r="I35" i="26"/>
  <c r="I38" i="26"/>
  <c r="I3" i="26"/>
  <c r="I5" i="26"/>
  <c r="I28" i="26"/>
  <c r="I23" i="26"/>
  <c r="I22" i="26"/>
  <c r="I27" i="26"/>
  <c r="I14" i="26"/>
  <c r="I15" i="26"/>
  <c r="I12" i="26"/>
  <c r="I11" i="26"/>
  <c r="I19" i="26"/>
  <c r="I7" i="26"/>
  <c r="I6" i="26"/>
  <c r="I10" i="26"/>
  <c r="I8" i="26"/>
  <c r="I9" i="26"/>
  <c r="F7" i="26"/>
  <c r="F6" i="26"/>
  <c r="F10" i="26"/>
  <c r="F8" i="26"/>
  <c r="F9" i="26"/>
  <c r="F14" i="26"/>
  <c r="F4" i="26"/>
  <c r="F20" i="26"/>
  <c r="G39" i="26"/>
  <c r="E39" i="26"/>
  <c r="D39" i="26"/>
  <c r="F25" i="26"/>
  <c r="F18" i="26"/>
  <c r="F36" i="26"/>
  <c r="F21" i="26"/>
  <c r="F37" i="26"/>
  <c r="F30" i="26"/>
  <c r="F19" i="26"/>
  <c r="F11" i="26"/>
  <c r="F12" i="26"/>
  <c r="I4" i="26"/>
  <c r="F45" i="25"/>
  <c r="F40" i="27" l="1"/>
  <c r="F39" i="26"/>
  <c r="F37" i="24"/>
  <c r="I37" i="24"/>
  <c r="I45" i="25"/>
  <c r="I17" i="25"/>
  <c r="I60" i="25"/>
  <c r="I36" i="25"/>
  <c r="I55" i="25"/>
  <c r="I41" i="25"/>
  <c r="I3" i="25"/>
  <c r="I53" i="25"/>
  <c r="I34" i="25"/>
  <c r="F20" i="25"/>
  <c r="F4" i="25"/>
  <c r="I56" i="25" l="1"/>
  <c r="I43" i="25"/>
  <c r="I39" i="25"/>
  <c r="I24" i="25"/>
  <c r="F13" i="25"/>
  <c r="I10" i="25"/>
  <c r="I7" i="25" l="1"/>
  <c r="I40" i="25"/>
  <c r="I37" i="25"/>
  <c r="F38" i="25" l="1"/>
  <c r="I31" i="25"/>
  <c r="I57" i="25"/>
  <c r="I52" i="25"/>
  <c r="I47" i="25"/>
  <c r="I46" i="25"/>
  <c r="I48" i="25"/>
  <c r="I50" i="25"/>
  <c r="I44" i="25"/>
  <c r="I33" i="25"/>
  <c r="I32" i="25"/>
  <c r="G61" i="25" l="1"/>
  <c r="E61" i="25"/>
  <c r="D61" i="25"/>
  <c r="I21" i="25"/>
  <c r="F21" i="25"/>
  <c r="I59" i="25"/>
  <c r="F59" i="25"/>
  <c r="I28" i="25"/>
  <c r="F28" i="25"/>
  <c r="I38" i="25"/>
  <c r="I51" i="25"/>
  <c r="F51" i="25"/>
  <c r="I58" i="25"/>
  <c r="F58" i="25"/>
  <c r="I20" i="25"/>
  <c r="F49" i="25"/>
  <c r="I25" i="25"/>
  <c r="F25" i="25"/>
  <c r="I35" i="25"/>
  <c r="F35" i="25"/>
  <c r="I54" i="25"/>
  <c r="F54" i="25"/>
  <c r="I30" i="25"/>
  <c r="F30" i="25"/>
  <c r="I29" i="25"/>
  <c r="I23" i="25"/>
  <c r="F23" i="25"/>
  <c r="I27" i="25"/>
  <c r="F27" i="25"/>
  <c r="I22" i="25"/>
  <c r="F22" i="25"/>
  <c r="I26" i="25"/>
  <c r="F26" i="25"/>
  <c r="F42" i="25"/>
  <c r="I15" i="25"/>
  <c r="F15" i="25"/>
  <c r="I14" i="25"/>
  <c r="F14" i="25"/>
  <c r="I16" i="25"/>
  <c r="F16" i="25"/>
  <c r="I11" i="25"/>
  <c r="F11" i="25"/>
  <c r="I13" i="25"/>
  <c r="I12" i="25"/>
  <c r="F12" i="25"/>
  <c r="I8" i="25"/>
  <c r="F8" i="25"/>
  <c r="F9" i="25"/>
  <c r="I5" i="25"/>
  <c r="F5" i="25"/>
  <c r="I6" i="25"/>
  <c r="F6" i="25"/>
  <c r="I4" i="25"/>
  <c r="E41" i="24"/>
  <c r="D41" i="24"/>
  <c r="D42" i="20"/>
  <c r="F4" i="24"/>
  <c r="F5" i="24"/>
  <c r="F7" i="24"/>
  <c r="F6" i="24"/>
  <c r="F61" i="25" l="1"/>
  <c r="I33" i="24"/>
  <c r="I35" i="24"/>
  <c r="F20" i="24"/>
  <c r="I19" i="24"/>
  <c r="F18" i="24"/>
  <c r="F11" i="24"/>
  <c r="F40" i="24"/>
  <c r="F31" i="24"/>
  <c r="I30" i="24"/>
  <c r="I23" i="24"/>
  <c r="I22" i="24"/>
  <c r="I9" i="24"/>
  <c r="I7" i="24"/>
  <c r="I29" i="24"/>
  <c r="I3" i="24"/>
  <c r="G41" i="24" l="1"/>
  <c r="F41" i="24"/>
  <c r="I31" i="24"/>
  <c r="I34" i="24"/>
  <c r="F34" i="24"/>
  <c r="I38" i="24"/>
  <c r="F38" i="24"/>
  <c r="I25" i="24"/>
  <c r="F25" i="24"/>
  <c r="I32" i="24"/>
  <c r="F32" i="24"/>
  <c r="I26" i="24"/>
  <c r="F26" i="24"/>
  <c r="I24" i="24"/>
  <c r="F24" i="24"/>
  <c r="I40" i="24"/>
  <c r="I36" i="24"/>
  <c r="F36" i="24"/>
  <c r="I18" i="24"/>
  <c r="I27" i="24"/>
  <c r="F27" i="24"/>
  <c r="I17" i="24"/>
  <c r="F17" i="24"/>
  <c r="I20" i="24"/>
  <c r="I16" i="24"/>
  <c r="F16" i="24"/>
  <c r="I39" i="24"/>
  <c r="F39" i="24"/>
  <c r="F14" i="24"/>
  <c r="F28" i="24"/>
  <c r="I15" i="24"/>
  <c r="F15" i="24"/>
  <c r="I21" i="24"/>
  <c r="F21" i="24"/>
  <c r="I12" i="24"/>
  <c r="F12" i="24"/>
  <c r="I13" i="24"/>
  <c r="F13" i="24"/>
  <c r="I8" i="24"/>
  <c r="F8" i="24"/>
  <c r="I10" i="24"/>
  <c r="F10" i="24"/>
  <c r="I11" i="24"/>
  <c r="I5" i="24"/>
  <c r="I4" i="24"/>
  <c r="G43" i="22"/>
  <c r="D43" i="22"/>
  <c r="I31" i="22" l="1"/>
  <c r="I42" i="22"/>
  <c r="F39" i="22"/>
  <c r="F37" i="22"/>
  <c r="I36" i="22"/>
  <c r="I27" i="22"/>
  <c r="I24" i="22"/>
  <c r="F41" i="22"/>
  <c r="F38" i="22"/>
  <c r="F15" i="22"/>
  <c r="F12" i="22"/>
  <c r="I22" i="22"/>
  <c r="I35" i="22"/>
  <c r="F35" i="22"/>
  <c r="I6" i="22"/>
  <c r="I17" i="22"/>
  <c r="I29" i="22"/>
  <c r="I32" i="22"/>
  <c r="F9" i="22"/>
  <c r="F13" i="22" l="1"/>
  <c r="F30" i="22"/>
  <c r="I30" i="22"/>
  <c r="I30" i="21"/>
  <c r="F30" i="21"/>
  <c r="I41" i="21"/>
  <c r="I34" i="21"/>
  <c r="I18" i="22"/>
  <c r="I28" i="22" l="1"/>
  <c r="I20" i="21"/>
  <c r="F43" i="22"/>
  <c r="I25" i="22"/>
  <c r="F25" i="22"/>
  <c r="I37" i="22"/>
  <c r="I40" i="22"/>
  <c r="F40" i="22"/>
  <c r="I21" i="22"/>
  <c r="F21" i="22"/>
  <c r="I23" i="22"/>
  <c r="I34" i="22"/>
  <c r="F34" i="22"/>
  <c r="I26" i="22"/>
  <c r="F26" i="22"/>
  <c r="I33" i="22"/>
  <c r="F33" i="22"/>
  <c r="I41" i="22"/>
  <c r="I19" i="22"/>
  <c r="F19" i="22"/>
  <c r="I20" i="22"/>
  <c r="F20" i="22"/>
  <c r="I38" i="22"/>
  <c r="I16" i="22"/>
  <c r="F16" i="22"/>
  <c r="I12" i="22"/>
  <c r="I15" i="22"/>
  <c r="F14" i="22"/>
  <c r="I10" i="22"/>
  <c r="F10" i="22"/>
  <c r="I11" i="22"/>
  <c r="F11" i="22"/>
  <c r="I9" i="22"/>
  <c r="I8" i="22"/>
  <c r="F8" i="22"/>
  <c r="I7" i="22"/>
  <c r="F7" i="22"/>
  <c r="I5" i="22"/>
  <c r="F5" i="22"/>
  <c r="I3" i="22"/>
  <c r="F3" i="22"/>
  <c r="F19" i="21" l="1"/>
  <c r="I29" i="21"/>
  <c r="I18" i="21"/>
  <c r="I15" i="21"/>
  <c r="I12" i="21"/>
  <c r="I38" i="21"/>
  <c r="I33" i="21"/>
  <c r="I24" i="21"/>
  <c r="I35" i="21"/>
  <c r="F8" i="21"/>
  <c r="I7" i="21"/>
  <c r="F6" i="21"/>
  <c r="F40" i="21"/>
  <c r="F28" i="21"/>
  <c r="G43" i="21"/>
  <c r="D43" i="21"/>
  <c r="F43" i="21" s="1"/>
  <c r="I36" i="21"/>
  <c r="F36" i="21"/>
  <c r="I40" i="21"/>
  <c r="I32" i="21"/>
  <c r="F32" i="21"/>
  <c r="I39" i="21"/>
  <c r="F39" i="21"/>
  <c r="I25" i="21"/>
  <c r="F25" i="21"/>
  <c r="I26" i="21"/>
  <c r="F26" i="21"/>
  <c r="I27" i="21"/>
  <c r="I28" i="21"/>
  <c r="I37" i="21"/>
  <c r="F37" i="21"/>
  <c r="F22" i="21"/>
  <c r="I21" i="21"/>
  <c r="F21" i="21"/>
  <c r="I17" i="21"/>
  <c r="F17" i="21"/>
  <c r="I19" i="21"/>
  <c r="I16" i="21"/>
  <c r="F16" i="21"/>
  <c r="I14" i="21"/>
  <c r="F14" i="21"/>
  <c r="F11" i="21"/>
  <c r="I13" i="21"/>
  <c r="F13" i="21"/>
  <c r="I9" i="21"/>
  <c r="F9" i="21"/>
  <c r="I8" i="21"/>
  <c r="I5" i="21"/>
  <c r="F5" i="21"/>
  <c r="I6" i="21"/>
  <c r="I4" i="21"/>
  <c r="F4" i="21"/>
  <c r="I3" i="21"/>
  <c r="F3" i="21"/>
  <c r="I38" i="20"/>
  <c r="I19" i="20"/>
  <c r="I29" i="20"/>
  <c r="I30" i="20" l="1"/>
  <c r="I18" i="20"/>
  <c r="G42" i="20"/>
  <c r="I23" i="20"/>
  <c r="F33" i="20"/>
  <c r="F27" i="20"/>
  <c r="F12" i="20"/>
  <c r="F17" i="20" l="1"/>
  <c r="I32" i="20"/>
  <c r="F3" i="20"/>
  <c r="I13" i="20"/>
  <c r="F9" i="20" l="1"/>
  <c r="I15" i="20"/>
  <c r="I34" i="20"/>
  <c r="I36" i="20" l="1"/>
  <c r="I21" i="20"/>
  <c r="I25" i="20"/>
  <c r="I7" i="20"/>
  <c r="F42" i="20"/>
  <c r="I37" i="20"/>
  <c r="F37" i="20"/>
  <c r="I33" i="20"/>
  <c r="I39" i="20"/>
  <c r="F39" i="20"/>
  <c r="I31" i="20"/>
  <c r="F31" i="20"/>
  <c r="I41" i="20"/>
  <c r="F41" i="20"/>
  <c r="I20" i="20"/>
  <c r="F20" i="20"/>
  <c r="I28" i="20"/>
  <c r="F28" i="20"/>
  <c r="I40" i="20"/>
  <c r="F40" i="20"/>
  <c r="I35" i="20"/>
  <c r="F35" i="20"/>
  <c r="I26" i="20"/>
  <c r="F26" i="20"/>
  <c r="I24" i="20"/>
  <c r="F24" i="20"/>
  <c r="I27" i="20"/>
  <c r="I22" i="20"/>
  <c r="F22" i="20"/>
  <c r="I5" i="20"/>
  <c r="I16" i="20"/>
  <c r="F16" i="20"/>
  <c r="I14" i="20"/>
  <c r="F14" i="20"/>
  <c r="I12" i="20"/>
  <c r="I11" i="20"/>
  <c r="F11" i="20"/>
  <c r="F10" i="20"/>
  <c r="I9" i="20"/>
  <c r="I8" i="20"/>
  <c r="F8" i="20"/>
  <c r="I6" i="20"/>
  <c r="F6" i="20"/>
  <c r="I4" i="20"/>
  <c r="F4" i="20"/>
  <c r="I3" i="20"/>
  <c r="G45" i="19"/>
  <c r="D45" i="19"/>
  <c r="F30" i="19"/>
  <c r="F4" i="19"/>
  <c r="F33" i="19" l="1"/>
  <c r="I3" i="19" l="1"/>
  <c r="I28" i="19"/>
  <c r="F19" i="19"/>
  <c r="I7" i="19"/>
  <c r="I14" i="19"/>
  <c r="I44" i="19"/>
  <c r="I42" i="19"/>
  <c r="F43" i="19"/>
  <c r="F40" i="19"/>
  <c r="I41" i="19"/>
  <c r="F35" i="19"/>
  <c r="F39" i="19"/>
  <c r="I37" i="19"/>
  <c r="I31" i="19" l="1"/>
  <c r="I27" i="19"/>
  <c r="I10" i="19"/>
  <c r="F22" i="19"/>
  <c r="F8" i="19" l="1"/>
  <c r="F45" i="19"/>
  <c r="I40" i="19"/>
  <c r="I43" i="19"/>
  <c r="I39" i="19"/>
  <c r="I35" i="19"/>
  <c r="I29" i="19"/>
  <c r="F29" i="19"/>
  <c r="I25" i="19"/>
  <c r="F25" i="19"/>
  <c r="I32" i="19"/>
  <c r="F32" i="19"/>
  <c r="I30" i="19"/>
  <c r="I18" i="19"/>
  <c r="F18" i="19"/>
  <c r="I26" i="19"/>
  <c r="F26" i="19"/>
  <c r="I36" i="19"/>
  <c r="F36" i="19"/>
  <c r="I21" i="19"/>
  <c r="F21" i="19"/>
  <c r="I24" i="19"/>
  <c r="F24" i="19"/>
  <c r="I22" i="19"/>
  <c r="I34" i="19"/>
  <c r="F34" i="19"/>
  <c r="I20" i="19"/>
  <c r="F20" i="19"/>
  <c r="I16" i="19"/>
  <c r="F16" i="19"/>
  <c r="I33" i="19"/>
  <c r="I38" i="19"/>
  <c r="F38" i="19"/>
  <c r="I23" i="19"/>
  <c r="F23" i="19"/>
  <c r="I17" i="19"/>
  <c r="F17" i="19"/>
  <c r="I19" i="19"/>
  <c r="I15" i="19"/>
  <c r="F15" i="19"/>
  <c r="I9" i="19"/>
  <c r="F9" i="19"/>
  <c r="I12" i="19"/>
  <c r="F12" i="19"/>
  <c r="I11" i="19"/>
  <c r="F11" i="19"/>
  <c r="I6" i="19"/>
  <c r="F6" i="19"/>
  <c r="I5" i="19"/>
  <c r="F5" i="19"/>
  <c r="I4" i="19"/>
  <c r="F14" i="18"/>
  <c r="G54" i="18"/>
  <c r="D54" i="18"/>
  <c r="I50" i="18" l="1"/>
  <c r="I49" i="18"/>
  <c r="I47" i="18"/>
  <c r="I44" i="18"/>
  <c r="I41" i="18"/>
  <c r="I26" i="18"/>
  <c r="I32" i="18"/>
  <c r="F33" i="18"/>
  <c r="I3" i="18"/>
  <c r="I53" i="18" l="1"/>
  <c r="I16" i="18"/>
  <c r="I46" i="18"/>
  <c r="F22" i="18"/>
  <c r="F10" i="18"/>
  <c r="F8" i="18"/>
  <c r="I11" i="18"/>
  <c r="I40" i="18"/>
  <c r="I42" i="18"/>
  <c r="I23" i="18"/>
  <c r="I52" i="18" l="1"/>
  <c r="F30" i="18" l="1"/>
  <c r="I43" i="18" l="1"/>
  <c r="F54" i="18"/>
  <c r="I51" i="18"/>
  <c r="F51" i="18"/>
  <c r="I35" i="18"/>
  <c r="F35" i="18"/>
  <c r="I38" i="18"/>
  <c r="F38" i="18"/>
  <c r="F48" i="18"/>
  <c r="I29" i="18"/>
  <c r="F29" i="18"/>
  <c r="I31" i="18"/>
  <c r="F31" i="18"/>
  <c r="I33" i="18"/>
  <c r="I45" i="18"/>
  <c r="F45" i="18"/>
  <c r="I34" i="18"/>
  <c r="F34" i="18"/>
  <c r="I20" i="18"/>
  <c r="F20" i="18"/>
  <c r="F37" i="18"/>
  <c r="I28" i="18"/>
  <c r="F28" i="18"/>
  <c r="I36" i="18"/>
  <c r="F36" i="18"/>
  <c r="I21" i="18"/>
  <c r="F21" i="18"/>
  <c r="I27" i="18"/>
  <c r="F27" i="18"/>
  <c r="I24" i="18"/>
  <c r="F24" i="18"/>
  <c r="I30" i="18"/>
  <c r="I19" i="18"/>
  <c r="F19" i="18"/>
  <c r="I17" i="18"/>
  <c r="F17" i="18"/>
  <c r="I15" i="18"/>
  <c r="F15" i="18"/>
  <c r="I22" i="18"/>
  <c r="I25" i="18"/>
  <c r="F25" i="18"/>
  <c r="I18" i="18"/>
  <c r="F18" i="18"/>
  <c r="I13" i="18"/>
  <c r="F13" i="18"/>
  <c r="I10" i="18"/>
  <c r="I12" i="18"/>
  <c r="F12" i="18"/>
  <c r="I9" i="18"/>
  <c r="F9" i="18"/>
  <c r="I8" i="18"/>
  <c r="I7" i="18"/>
  <c r="F7" i="18"/>
  <c r="I5" i="18"/>
  <c r="F5" i="18"/>
  <c r="I4" i="18"/>
  <c r="F4" i="18"/>
  <c r="G45" i="17"/>
  <c r="D45" i="17"/>
  <c r="I43" i="17"/>
  <c r="I42" i="17"/>
  <c r="I39" i="17"/>
  <c r="F5" i="17"/>
  <c r="I18" i="17"/>
  <c r="I31" i="17" l="1"/>
  <c r="I41" i="17" l="1"/>
  <c r="I29" i="17" l="1"/>
  <c r="I44" i="17"/>
  <c r="I9" i="17"/>
  <c r="F22" i="17" l="1"/>
  <c r="F11" i="17"/>
  <c r="F14" i="17"/>
  <c r="F19" i="17"/>
  <c r="F15" i="17"/>
  <c r="F25" i="17"/>
  <c r="F12" i="17"/>
  <c r="F17" i="17"/>
  <c r="F16" i="17"/>
  <c r="F20" i="17"/>
  <c r="F23" i="17"/>
  <c r="F26" i="17"/>
  <c r="F21" i="17"/>
  <c r="F32" i="17"/>
  <c r="F34" i="17"/>
  <c r="F24" i="17"/>
  <c r="F36" i="17"/>
  <c r="F35" i="17"/>
  <c r="F38" i="17"/>
  <c r="F27" i="17"/>
  <c r="F37" i="17"/>
  <c r="F30" i="17"/>
  <c r="F40" i="17"/>
  <c r="F33" i="17"/>
  <c r="I28" i="17" l="1"/>
  <c r="I6" i="17"/>
  <c r="I13" i="17"/>
  <c r="F45" i="17"/>
  <c r="I33" i="17"/>
  <c r="I40" i="17"/>
  <c r="I30" i="17"/>
  <c r="I37" i="17"/>
  <c r="I27" i="17"/>
  <c r="I38" i="17"/>
  <c r="I35" i="17"/>
  <c r="I36" i="17"/>
  <c r="I24" i="17"/>
  <c r="I32" i="17"/>
  <c r="I21" i="17"/>
  <c r="I26" i="17"/>
  <c r="I23" i="17"/>
  <c r="I20" i="17"/>
  <c r="I16" i="17"/>
  <c r="I17" i="17"/>
  <c r="I12" i="17"/>
  <c r="I19" i="17"/>
  <c r="I14" i="17"/>
  <c r="I11" i="17"/>
  <c r="I22" i="17"/>
  <c r="I10" i="17"/>
  <c r="F10" i="17"/>
  <c r="I8" i="17"/>
  <c r="F8" i="17"/>
  <c r="I7" i="17"/>
  <c r="F7" i="17"/>
  <c r="I5" i="17"/>
  <c r="I4" i="17"/>
  <c r="F4" i="17"/>
  <c r="I3" i="17"/>
  <c r="F3" i="17"/>
  <c r="G45" i="16"/>
  <c r="D45" i="16"/>
  <c r="I5" i="16"/>
  <c r="I35" i="16" l="1"/>
  <c r="F41" i="16"/>
  <c r="I37" i="16"/>
  <c r="I25" i="16" l="1"/>
  <c r="F21" i="16"/>
  <c r="F3" i="16"/>
  <c r="I36" i="16"/>
  <c r="I9" i="16"/>
  <c r="I19" i="16"/>
  <c r="I10" i="16" l="1"/>
  <c r="I40" i="16"/>
  <c r="I33" i="16"/>
  <c r="I32" i="16" l="1"/>
  <c r="I22" i="16"/>
  <c r="I31" i="16"/>
  <c r="F18" i="16"/>
  <c r="I27" i="16" l="1"/>
  <c r="I28" i="16" l="1"/>
  <c r="I38" i="16"/>
  <c r="I44" i="16"/>
  <c r="I29" i="16"/>
  <c r="F45" i="16"/>
  <c r="I43" i="16"/>
  <c r="F43" i="16"/>
  <c r="I30" i="16"/>
  <c r="F30" i="16"/>
  <c r="I41" i="16"/>
  <c r="I34" i="16"/>
  <c r="F34" i="16"/>
  <c r="F24" i="16"/>
  <c r="I15" i="16"/>
  <c r="F15" i="16"/>
  <c r="I39" i="16"/>
  <c r="F39" i="16"/>
  <c r="I21" i="16"/>
  <c r="I42" i="16"/>
  <c r="F42" i="16"/>
  <c r="I20" i="16"/>
  <c r="F20" i="16"/>
  <c r="I23" i="16"/>
  <c r="F23" i="16"/>
  <c r="I17" i="16"/>
  <c r="F17" i="16"/>
  <c r="I16" i="16"/>
  <c r="F16" i="16"/>
  <c r="I26" i="16"/>
  <c r="F26" i="16"/>
  <c r="F13" i="16"/>
  <c r="I18" i="16"/>
  <c r="I12" i="16"/>
  <c r="F12" i="16"/>
  <c r="I11" i="16"/>
  <c r="F11" i="16"/>
  <c r="I8" i="16"/>
  <c r="F8" i="16"/>
  <c r="I6" i="16"/>
  <c r="F6" i="16"/>
  <c r="I7" i="16"/>
  <c r="F7" i="16"/>
  <c r="I3" i="16"/>
  <c r="I4" i="16"/>
  <c r="F4" i="16"/>
  <c r="G40" i="15"/>
  <c r="D40" i="15"/>
  <c r="F15" i="15" l="1"/>
  <c r="F23" i="15"/>
  <c r="F21" i="15"/>
  <c r="F26" i="15"/>
  <c r="F29" i="15"/>
  <c r="F35" i="15"/>
  <c r="F33" i="15"/>
  <c r="F30" i="15"/>
  <c r="I28" i="15" l="1"/>
  <c r="I31" i="15"/>
  <c r="F34" i="15"/>
  <c r="F27" i="15"/>
  <c r="F8" i="15"/>
  <c r="F4" i="14"/>
  <c r="I8" i="15"/>
  <c r="I19" i="15"/>
  <c r="F6" i="15"/>
  <c r="I24" i="15"/>
  <c r="I4" i="15"/>
  <c r="I39" i="15" l="1"/>
  <c r="I38" i="15" l="1"/>
  <c r="I37" i="15" l="1"/>
  <c r="F14" i="15"/>
  <c r="F13" i="15"/>
  <c r="I36" i="15" l="1"/>
  <c r="I5" i="15" l="1"/>
  <c r="I11" i="15"/>
  <c r="F40" i="15" l="1"/>
  <c r="I27" i="15"/>
  <c r="I34" i="15"/>
  <c r="I32" i="15"/>
  <c r="F32" i="15"/>
  <c r="I26" i="15"/>
  <c r="I30" i="15"/>
  <c r="I33" i="15"/>
  <c r="I35" i="15"/>
  <c r="I29" i="15"/>
  <c r="I16" i="15"/>
  <c r="F16" i="15"/>
  <c r="I17" i="15"/>
  <c r="F17" i="15"/>
  <c r="I21" i="15"/>
  <c r="I23" i="15"/>
  <c r="F25" i="15"/>
  <c r="I18" i="15"/>
  <c r="F18" i="15"/>
  <c r="F12" i="15"/>
  <c r="I13" i="15"/>
  <c r="I14" i="15"/>
  <c r="I9" i="15"/>
  <c r="F9" i="15"/>
  <c r="I10" i="15"/>
  <c r="F10" i="15"/>
  <c r="I15" i="15"/>
  <c r="I7" i="15"/>
  <c r="F7" i="15"/>
  <c r="I6" i="15"/>
  <c r="I3" i="15"/>
  <c r="F3" i="15"/>
  <c r="I31" i="14"/>
  <c r="I37" i="14"/>
  <c r="F42" i="14"/>
  <c r="I42" i="14"/>
  <c r="G44" i="14"/>
  <c r="D44" i="14"/>
  <c r="I30" i="14" l="1"/>
  <c r="I36" i="14"/>
  <c r="F9" i="14"/>
  <c r="I10" i="14"/>
  <c r="I5" i="14"/>
  <c r="I39" i="14"/>
  <c r="F13" i="14"/>
  <c r="I11" i="14"/>
  <c r="F3" i="14" l="1"/>
  <c r="F14" i="14"/>
  <c r="I38" i="14"/>
  <c r="I34" i="14" l="1"/>
  <c r="I29" i="14"/>
  <c r="I7" i="14" l="1"/>
  <c r="I15" i="14"/>
  <c r="I16" i="14"/>
  <c r="I19" i="14"/>
  <c r="I20" i="14"/>
  <c r="I22" i="14"/>
  <c r="I21" i="14"/>
  <c r="I27" i="14"/>
  <c r="I35" i="14"/>
  <c r="I33" i="14"/>
  <c r="I40" i="14"/>
  <c r="I25" i="14"/>
  <c r="I41" i="14"/>
  <c r="I43" i="14"/>
  <c r="F44" i="14" l="1"/>
  <c r="I26" i="14"/>
  <c r="F26" i="14"/>
  <c r="I24" i="14"/>
  <c r="F24" i="14"/>
  <c r="I32" i="14"/>
  <c r="F32" i="14"/>
  <c r="I23" i="14"/>
  <c r="F23" i="14"/>
  <c r="I28" i="14"/>
  <c r="F28" i="14"/>
  <c r="I18" i="14"/>
  <c r="F18" i="14"/>
  <c r="I17" i="14"/>
  <c r="F17" i="14"/>
  <c r="I13" i="14"/>
  <c r="F12" i="14"/>
  <c r="I8" i="14"/>
  <c r="F8" i="14"/>
  <c r="I9" i="14"/>
  <c r="I6" i="14"/>
  <c r="F6" i="14"/>
  <c r="I3" i="14"/>
  <c r="I25" i="13"/>
  <c r="G29" i="13"/>
  <c r="D29" i="13"/>
  <c r="F14" i="13"/>
  <c r="I27" i="13"/>
  <c r="I6" i="13"/>
  <c r="F20" i="13" l="1"/>
  <c r="F16" i="13"/>
  <c r="I3" i="13" l="1"/>
  <c r="I24" i="13"/>
  <c r="I4" i="12" l="1"/>
  <c r="I5" i="13"/>
  <c r="F5" i="13"/>
  <c r="I26" i="13"/>
  <c r="I28" i="13"/>
  <c r="F29" i="13"/>
  <c r="I22" i="13"/>
  <c r="F22" i="13"/>
  <c r="I21" i="13"/>
  <c r="F21" i="13"/>
  <c r="I16" i="13"/>
  <c r="I11" i="13"/>
  <c r="I19" i="13"/>
  <c r="F19" i="13"/>
  <c r="I20" i="13"/>
  <c r="I17" i="13"/>
  <c r="F17" i="13"/>
  <c r="I15" i="13"/>
  <c r="F15" i="13"/>
  <c r="I18" i="13"/>
  <c r="F18" i="13"/>
  <c r="I14" i="13"/>
  <c r="I12" i="13"/>
  <c r="F12" i="13"/>
  <c r="I13" i="13"/>
  <c r="F13" i="13"/>
  <c r="F9" i="13"/>
  <c r="I8" i="13"/>
  <c r="F8" i="13"/>
  <c r="I7" i="13"/>
  <c r="F7" i="13"/>
  <c r="I4" i="13"/>
  <c r="F4" i="13"/>
  <c r="G33" i="12" l="1"/>
  <c r="D33" i="12"/>
  <c r="F31" i="12"/>
  <c r="F3" i="12"/>
  <c r="I22" i="12"/>
  <c r="I10" i="12" l="1"/>
  <c r="I32" i="12"/>
  <c r="I28" i="12"/>
  <c r="I21" i="12"/>
  <c r="I17" i="12" l="1"/>
  <c r="F15" i="12"/>
  <c r="I30" i="12"/>
  <c r="I18" i="12" l="1"/>
  <c r="I20" i="12"/>
  <c r="F33" i="12"/>
  <c r="I24" i="12"/>
  <c r="F24" i="12"/>
  <c r="I27" i="12"/>
  <c r="F27" i="12"/>
  <c r="I29" i="12"/>
  <c r="F29" i="12"/>
  <c r="I23" i="12"/>
  <c r="F23" i="12"/>
  <c r="I16" i="12"/>
  <c r="F16" i="12"/>
  <c r="I19" i="12"/>
  <c r="F19" i="12"/>
  <c r="I13" i="12"/>
  <c r="F13" i="12"/>
  <c r="I14" i="12"/>
  <c r="F14" i="12"/>
  <c r="I25" i="12"/>
  <c r="F25" i="12"/>
  <c r="I26" i="12"/>
  <c r="F26" i="12"/>
  <c r="I12" i="12"/>
  <c r="F12" i="12"/>
  <c r="I31" i="12"/>
  <c r="I11" i="12"/>
  <c r="F11" i="12"/>
  <c r="I15" i="12"/>
  <c r="I8" i="12"/>
  <c r="F8" i="12"/>
  <c r="I9" i="12"/>
  <c r="F9" i="12"/>
  <c r="I6" i="12"/>
  <c r="F6" i="12"/>
  <c r="F7" i="12"/>
  <c r="I5" i="12"/>
  <c r="F5" i="12"/>
  <c r="I3" i="12"/>
  <c r="F6" i="11"/>
  <c r="G31" i="11"/>
  <c r="D31" i="11"/>
  <c r="F27" i="11"/>
  <c r="F9" i="11"/>
  <c r="I30" i="11"/>
  <c r="I25" i="11"/>
  <c r="I29" i="11"/>
  <c r="I26" i="11"/>
  <c r="F13" i="11"/>
  <c r="F15" i="11"/>
  <c r="F28" i="11" l="1"/>
  <c r="F17" i="11" l="1"/>
  <c r="F29" i="11" l="1"/>
  <c r="I10" i="11" l="1"/>
  <c r="I4" i="11"/>
  <c r="I12" i="11"/>
  <c r="I3" i="11"/>
  <c r="F31" i="11"/>
  <c r="F26" i="11"/>
  <c r="I22" i="11"/>
  <c r="F22" i="11"/>
  <c r="F25" i="11"/>
  <c r="I28" i="11"/>
  <c r="I24" i="11"/>
  <c r="F24" i="11"/>
  <c r="I21" i="11"/>
  <c r="F21" i="11"/>
  <c r="I23" i="11"/>
  <c r="F23" i="11"/>
  <c r="I27" i="11"/>
  <c r="I19" i="11"/>
  <c r="F19" i="11"/>
  <c r="I17" i="11"/>
  <c r="I20" i="11"/>
  <c r="F20" i="11"/>
  <c r="I18" i="11"/>
  <c r="F18" i="11"/>
  <c r="I14" i="11"/>
  <c r="F14" i="11"/>
  <c r="I16" i="11"/>
  <c r="F16" i="11"/>
  <c r="I15" i="11"/>
  <c r="I13" i="11"/>
  <c r="I11" i="11"/>
  <c r="F11" i="11"/>
  <c r="I9" i="11"/>
  <c r="I8" i="11"/>
  <c r="F8" i="11"/>
  <c r="I7" i="11"/>
  <c r="F7" i="11"/>
  <c r="I5" i="11"/>
  <c r="F5" i="11"/>
  <c r="G40" i="10"/>
  <c r="D40" i="10"/>
  <c r="I21" i="10"/>
  <c r="F21" i="10"/>
  <c r="I9" i="10"/>
  <c r="I19" i="10"/>
  <c r="F39" i="10" l="1"/>
  <c r="I7" i="10"/>
  <c r="I38" i="10"/>
  <c r="I37" i="10" l="1"/>
  <c r="F4" i="10"/>
  <c r="I10" i="10" l="1"/>
  <c r="F27" i="10" l="1"/>
  <c r="I22" i="10" l="1"/>
  <c r="I28" i="10"/>
  <c r="I31" i="10" l="1"/>
  <c r="F30" i="10"/>
  <c r="I25" i="10" l="1"/>
  <c r="F5" i="10"/>
  <c r="I36" i="10"/>
  <c r="I15" i="10"/>
  <c r="F26" i="10" l="1"/>
  <c r="F40" i="10"/>
  <c r="F35" i="10"/>
  <c r="I39" i="10"/>
  <c r="I33" i="10"/>
  <c r="F33" i="10"/>
  <c r="I34" i="10"/>
  <c r="F34" i="10"/>
  <c r="I23" i="10"/>
  <c r="F23" i="10"/>
  <c r="I24" i="10"/>
  <c r="F24" i="10"/>
  <c r="I29" i="10"/>
  <c r="F29" i="10"/>
  <c r="I26" i="10"/>
  <c r="I32" i="10"/>
  <c r="F32" i="10"/>
  <c r="I20" i="10"/>
  <c r="F20" i="10"/>
  <c r="I27" i="10"/>
  <c r="I17" i="10"/>
  <c r="F17" i="10"/>
  <c r="I30" i="10"/>
  <c r="I18" i="10"/>
  <c r="F18" i="10"/>
  <c r="F16" i="10"/>
  <c r="I14" i="10"/>
  <c r="F14" i="10"/>
  <c r="I13" i="10"/>
  <c r="F13" i="10"/>
  <c r="I12" i="10"/>
  <c r="F12" i="10"/>
  <c r="I11" i="10"/>
  <c r="F11" i="10"/>
  <c r="I8" i="10"/>
  <c r="F8" i="10"/>
  <c r="I6" i="10"/>
  <c r="F6" i="10"/>
  <c r="I4" i="10"/>
  <c r="I3" i="10"/>
  <c r="F3" i="10"/>
  <c r="I21" i="8"/>
  <c r="G41" i="9" l="1"/>
  <c r="D41" i="9"/>
  <c r="F3" i="9"/>
  <c r="F27" i="9"/>
  <c r="I19" i="9" l="1"/>
  <c r="I39" i="9"/>
  <c r="I38" i="9" l="1"/>
  <c r="F21" i="9" l="1"/>
  <c r="F18" i="9"/>
  <c r="F6" i="9"/>
  <c r="F11" i="9"/>
  <c r="F40" i="9" l="1"/>
  <c r="F34" i="9"/>
  <c r="I15" i="9"/>
  <c r="I23" i="9"/>
  <c r="I37" i="9"/>
  <c r="I17" i="9"/>
  <c r="I31" i="9"/>
  <c r="F41" i="9" l="1"/>
  <c r="I35" i="9"/>
  <c r="F35" i="9"/>
  <c r="I27" i="9"/>
  <c r="I30" i="9"/>
  <c r="F30" i="9"/>
  <c r="I32" i="9"/>
  <c r="F32" i="9"/>
  <c r="I26" i="9"/>
  <c r="F26" i="9"/>
  <c r="I24" i="9"/>
  <c r="F24" i="9"/>
  <c r="I28" i="9"/>
  <c r="F28" i="9"/>
  <c r="F36" i="9"/>
  <c r="F33" i="9"/>
  <c r="I29" i="9"/>
  <c r="F29" i="9"/>
  <c r="I20" i="9"/>
  <c r="F20" i="9"/>
  <c r="I25" i="9"/>
  <c r="F25" i="9"/>
  <c r="I14" i="9"/>
  <c r="F14" i="9"/>
  <c r="I4" i="9"/>
  <c r="I16" i="9"/>
  <c r="F16" i="9"/>
  <c r="I18" i="9"/>
  <c r="I21" i="9"/>
  <c r="I9" i="9"/>
  <c r="F9" i="9"/>
  <c r="I8" i="9"/>
  <c r="F8" i="9"/>
  <c r="I10" i="9"/>
  <c r="F10" i="9"/>
  <c r="I13" i="9"/>
  <c r="F13" i="9"/>
  <c r="I11" i="9"/>
  <c r="F12" i="9"/>
  <c r="I7" i="9"/>
  <c r="F7" i="9"/>
  <c r="I6" i="9"/>
  <c r="I3" i="9"/>
  <c r="I7" i="8"/>
  <c r="F27" i="8"/>
  <c r="I27" i="8"/>
  <c r="F34" i="8"/>
  <c r="I34" i="8"/>
  <c r="I3" i="8"/>
  <c r="I14" i="8"/>
  <c r="G40" i="8"/>
  <c r="D40" i="8"/>
  <c r="I39" i="8" l="1"/>
  <c r="I38" i="8"/>
  <c r="F18" i="8"/>
  <c r="I33" i="8"/>
  <c r="I35" i="8"/>
  <c r="I16" i="8"/>
  <c r="I12" i="8"/>
  <c r="I13" i="8"/>
  <c r="I4" i="8" l="1"/>
  <c r="I37" i="8" l="1"/>
  <c r="I32" i="8"/>
  <c r="F20" i="8"/>
  <c r="F28" i="8" l="1"/>
  <c r="F40" i="8" l="1"/>
  <c r="I29" i="8"/>
  <c r="F29" i="8"/>
  <c r="I31" i="8"/>
  <c r="F31" i="8"/>
  <c r="F23" i="8"/>
  <c r="I26" i="8"/>
  <c r="F26" i="8"/>
  <c r="I30" i="8"/>
  <c r="F30" i="8"/>
  <c r="F24" i="8"/>
  <c r="I28" i="8"/>
  <c r="I22" i="8"/>
  <c r="F22" i="8"/>
  <c r="I25" i="8"/>
  <c r="F25" i="8"/>
  <c r="I20" i="8"/>
  <c r="I17" i="8"/>
  <c r="F17" i="8"/>
  <c r="I18" i="8"/>
  <c r="I15" i="8"/>
  <c r="F15" i="8"/>
  <c r="I10" i="8"/>
  <c r="F10" i="8"/>
  <c r="I9" i="8"/>
  <c r="F9" i="8"/>
  <c r="I11" i="8"/>
  <c r="F11" i="8"/>
  <c r="I8" i="8"/>
  <c r="F8" i="8"/>
  <c r="F6" i="8"/>
  <c r="I5" i="8"/>
  <c r="F5" i="8"/>
  <c r="G30" i="7"/>
  <c r="D30" i="7"/>
  <c r="F17" i="7"/>
  <c r="F19" i="7" l="1"/>
  <c r="I15" i="7"/>
  <c r="I28" i="7"/>
  <c r="I27" i="7"/>
  <c r="I18" i="7"/>
  <c r="I10" i="7"/>
  <c r="I12" i="7" l="1"/>
  <c r="F29" i="7"/>
  <c r="F13" i="7"/>
  <c r="F16" i="7"/>
  <c r="F4" i="7"/>
  <c r="F30" i="7"/>
  <c r="I26" i="7"/>
  <c r="F26" i="7"/>
  <c r="I23" i="7"/>
  <c r="F23" i="7"/>
  <c r="I25" i="7"/>
  <c r="F25" i="7"/>
  <c r="F22" i="7"/>
  <c r="I24" i="7"/>
  <c r="F24" i="7"/>
  <c r="I20" i="7"/>
  <c r="F20" i="7"/>
  <c r="I21" i="7"/>
  <c r="F21" i="7"/>
  <c r="I19" i="7"/>
  <c r="I17" i="7"/>
  <c r="I14" i="7"/>
  <c r="F14" i="7"/>
  <c r="I13" i="7"/>
  <c r="I11" i="7"/>
  <c r="F11" i="7"/>
  <c r="I8" i="7"/>
  <c r="F8" i="7"/>
  <c r="I9" i="7"/>
  <c r="F9" i="7"/>
  <c r="I7" i="7"/>
  <c r="F7" i="7"/>
  <c r="I5" i="7"/>
  <c r="F5" i="7"/>
  <c r="I6" i="7"/>
  <c r="F6" i="7"/>
  <c r="I3" i="7"/>
  <c r="F3" i="7"/>
  <c r="I27" i="6"/>
  <c r="F8" i="6"/>
  <c r="I26" i="6"/>
  <c r="I15" i="6" l="1"/>
  <c r="I31" i="6"/>
  <c r="I30" i="6"/>
  <c r="F28" i="6"/>
  <c r="F22" i="6"/>
  <c r="F3" i="6"/>
  <c r="I14" i="6"/>
  <c r="I11" i="6"/>
  <c r="I23" i="6" l="1"/>
  <c r="G32" i="6" l="1"/>
  <c r="D32" i="6"/>
  <c r="F32" i="6" s="1"/>
  <c r="I28" i="6"/>
  <c r="I29" i="6"/>
  <c r="F29" i="6"/>
  <c r="I24" i="6"/>
  <c r="F24" i="6"/>
  <c r="I21" i="6"/>
  <c r="F21" i="6"/>
  <c r="I17" i="6"/>
  <c r="F17" i="6"/>
  <c r="F19" i="6"/>
  <c r="I18" i="6"/>
  <c r="F18" i="6"/>
  <c r="I20" i="6"/>
  <c r="F20" i="6"/>
  <c r="I22" i="6"/>
  <c r="I16" i="6"/>
  <c r="F16" i="6"/>
  <c r="I13" i="6"/>
  <c r="F13" i="6"/>
  <c r="I10" i="6"/>
  <c r="F10" i="6"/>
  <c r="I9" i="6"/>
  <c r="F9" i="6"/>
  <c r="I8" i="6"/>
  <c r="I7" i="6"/>
  <c r="F7" i="6"/>
  <c r="I5" i="6"/>
  <c r="F5" i="6"/>
  <c r="I6" i="6"/>
  <c r="F6" i="6"/>
  <c r="I3" i="6"/>
  <c r="D33" i="5"/>
  <c r="F9" i="5"/>
  <c r="F17" i="5"/>
  <c r="I15" i="5"/>
  <c r="I7" i="5"/>
  <c r="I30" i="5"/>
  <c r="I29" i="5"/>
  <c r="F13" i="5" l="1"/>
  <c r="I12" i="5"/>
  <c r="F6" i="5"/>
  <c r="I3" i="5"/>
  <c r="I26" i="5"/>
  <c r="F28" i="5" l="1"/>
  <c r="G33" i="5" l="1"/>
  <c r="F33" i="5"/>
  <c r="I27" i="5"/>
  <c r="F27" i="5"/>
  <c r="I28" i="5"/>
  <c r="I31" i="5"/>
  <c r="F31" i="5"/>
  <c r="I25" i="5"/>
  <c r="F25" i="5"/>
  <c r="I24" i="5"/>
  <c r="F24" i="5"/>
  <c r="I23" i="5"/>
  <c r="F23" i="5"/>
  <c r="F20" i="5"/>
  <c r="I21" i="5"/>
  <c r="F21" i="5"/>
  <c r="I22" i="5"/>
  <c r="F22" i="5"/>
  <c r="I19" i="5"/>
  <c r="F19" i="5"/>
  <c r="I18" i="5"/>
  <c r="F18" i="5"/>
  <c r="F16" i="5"/>
  <c r="I14" i="5"/>
  <c r="F14" i="5"/>
  <c r="I17" i="5"/>
  <c r="I10" i="5"/>
  <c r="F10" i="5"/>
  <c r="I13" i="5"/>
  <c r="I11" i="5"/>
  <c r="F11" i="5"/>
  <c r="I9" i="5"/>
  <c r="I8" i="5"/>
  <c r="F8" i="5"/>
  <c r="I6" i="5"/>
  <c r="I5" i="5"/>
  <c r="F5" i="5"/>
  <c r="I4" i="5"/>
  <c r="F4" i="5"/>
  <c r="F25" i="4"/>
  <c r="F14" i="4"/>
  <c r="F21" i="4"/>
  <c r="F17" i="4" l="1"/>
  <c r="I11" i="4"/>
  <c r="I33" i="4"/>
  <c r="I31" i="4"/>
  <c r="I29" i="4"/>
  <c r="F12" i="4"/>
  <c r="F8" i="4"/>
  <c r="F3" i="4"/>
  <c r="F28" i="4" l="1"/>
  <c r="D34" i="4" l="1"/>
  <c r="F34" i="4" s="1"/>
  <c r="I7" i="4"/>
  <c r="I27" i="4"/>
  <c r="I5" i="4"/>
  <c r="I9" i="4"/>
  <c r="G34" i="4"/>
  <c r="I26" i="4"/>
  <c r="F26" i="4"/>
  <c r="I25" i="4"/>
  <c r="I28" i="4"/>
  <c r="I22" i="4"/>
  <c r="F22" i="4"/>
  <c r="I32" i="4"/>
  <c r="F32" i="4"/>
  <c r="F18" i="4"/>
  <c r="I23" i="4"/>
  <c r="F23" i="4"/>
  <c r="I19" i="4"/>
  <c r="F19" i="4"/>
  <c r="I21" i="4"/>
  <c r="I24" i="4"/>
  <c r="F24" i="4"/>
  <c r="I17" i="4"/>
  <c r="I15" i="4"/>
  <c r="F15" i="4"/>
  <c r="I20" i="4"/>
  <c r="F20" i="4"/>
  <c r="I14" i="4"/>
  <c r="I16" i="4"/>
  <c r="F16" i="4"/>
  <c r="F13" i="4"/>
  <c r="I12" i="4"/>
  <c r="I10" i="4"/>
  <c r="F10" i="4"/>
  <c r="I8" i="4"/>
  <c r="I6" i="4"/>
  <c r="F6" i="4"/>
  <c r="I4" i="4"/>
  <c r="F4" i="4"/>
  <c r="I3" i="4"/>
  <c r="G35" i="3"/>
  <c r="D35" i="3"/>
  <c r="I25" i="3"/>
  <c r="I16" i="3"/>
  <c r="I3" i="3" l="1"/>
  <c r="I30" i="3" l="1"/>
  <c r="F15" i="3" l="1"/>
  <c r="F12" i="3"/>
  <c r="I14" i="3" l="1"/>
  <c r="I24" i="3"/>
  <c r="F17" i="3"/>
  <c r="F33" i="3" l="1"/>
  <c r="I31" i="3"/>
  <c r="I32" i="3"/>
  <c r="F27" i="3" l="1"/>
  <c r="I6" i="3" l="1"/>
  <c r="I8" i="3" l="1"/>
  <c r="I29" i="3"/>
  <c r="F35" i="3"/>
  <c r="I33" i="3"/>
  <c r="I22" i="3"/>
  <c r="F22" i="3"/>
  <c r="I27" i="3"/>
  <c r="I23" i="3"/>
  <c r="F23" i="3"/>
  <c r="F21" i="3"/>
  <c r="I28" i="3"/>
  <c r="F28" i="3"/>
  <c r="I20" i="3"/>
  <c r="F20" i="3"/>
  <c r="F19" i="3"/>
  <c r="I26" i="3"/>
  <c r="F26" i="3"/>
  <c r="I18" i="3"/>
  <c r="F18" i="3"/>
  <c r="I17" i="3"/>
  <c r="I13" i="3"/>
  <c r="F13" i="3"/>
  <c r="I15" i="3"/>
  <c r="F9" i="3"/>
  <c r="I12" i="3"/>
  <c r="I10" i="3"/>
  <c r="F10" i="3"/>
  <c r="I11" i="3"/>
  <c r="I7" i="3"/>
  <c r="F7" i="3"/>
  <c r="I5" i="3"/>
  <c r="F5" i="3"/>
  <c r="I4" i="3"/>
  <c r="F4" i="3"/>
  <c r="I12" i="2"/>
  <c r="I31" i="2"/>
  <c r="I30" i="2"/>
  <c r="I26" i="2"/>
  <c r="I28" i="2"/>
  <c r="I23" i="2"/>
  <c r="I16" i="2"/>
  <c r="I6" i="2" l="1"/>
  <c r="I22" i="2"/>
  <c r="I25" i="2"/>
  <c r="F4" i="2" l="1"/>
  <c r="F8" i="2"/>
  <c r="F13" i="2"/>
  <c r="F11" i="2"/>
  <c r="F7" i="2"/>
  <c r="F16" i="2"/>
  <c r="F21" i="2"/>
  <c r="F14" i="2"/>
  <c r="F15" i="2"/>
  <c r="F20" i="2"/>
  <c r="F32" i="2"/>
  <c r="F17" i="2"/>
  <c r="F19" i="2"/>
  <c r="F29" i="2"/>
  <c r="F18" i="2"/>
  <c r="F27" i="2"/>
  <c r="F24" i="2"/>
  <c r="F3" i="2"/>
  <c r="I24" i="2"/>
  <c r="G33" i="2" l="1"/>
  <c r="D33" i="2"/>
  <c r="F33" i="2" s="1"/>
  <c r="I14" i="2" l="1"/>
  <c r="I4" i="2"/>
  <c r="I3" i="2"/>
  <c r="I27" i="2" l="1"/>
  <c r="I18" i="2"/>
  <c r="I10" i="2"/>
  <c r="I29" i="2"/>
  <c r="I9" i="2"/>
  <c r="I20" i="2"/>
  <c r="I32" i="2"/>
  <c r="I17" i="2"/>
  <c r="I21" i="2"/>
  <c r="I11" i="2"/>
  <c r="I13" i="2"/>
  <c r="I8" i="2"/>
  <c r="I5" i="2"/>
  <c r="F5" i="2"/>
</calcChain>
</file>

<file path=xl/sharedStrings.xml><?xml version="1.0" encoding="utf-8"?>
<sst xmlns="http://schemas.openxmlformats.org/spreadsheetml/2006/main" count="5551" uniqueCount="441">
  <si>
    <t>Filmas 
(Movie)</t>
  </si>
  <si>
    <t>Pajamos 
(GBO)</t>
  </si>
  <si>
    <t>Pajamos 
praeita sav.
(GBO LW)</t>
  </si>
  <si>
    <t>Pakitimas
(Change)</t>
  </si>
  <si>
    <t>Žiūrovų sk. 
(ADM)</t>
  </si>
  <si>
    <t>Seansų sk. 
(Show count)</t>
  </si>
  <si>
    <t>Lankomumo vid.
(Average ADM)</t>
  </si>
  <si>
    <t>Kopijų sk. 
(DCO count)</t>
  </si>
  <si>
    <t>Rodymo savaitė
(Week on screen)</t>
  </si>
  <si>
    <t>Bendros pajamos 
(Total GBO)</t>
  </si>
  <si>
    <t>Bendras žiūrovų sk.
(Total ADM)</t>
  </si>
  <si>
    <t>Premjeros data 
(Release date)</t>
  </si>
  <si>
    <t>Platintojas 
(Distributor)</t>
  </si>
  <si>
    <t>-</t>
  </si>
  <si>
    <t xml:space="preserve"> </t>
  </si>
  <si>
    <t>Column1</t>
  </si>
  <si>
    <t>Įsikūnijimas. Ugnis ir pelenai (Avatar: Fire and Ash)</t>
  </si>
  <si>
    <t>Kempiniukas plačiakelnis. Kelnių paieškos (SpongeBob Movie: Search for SquarePants)</t>
  </si>
  <si>
    <t>Zootropolis 2 (Zootopia 2)</t>
  </si>
  <si>
    <t>Anakonda (Anaconda)</t>
  </si>
  <si>
    <t>Kaip peliukai Kalėdas griovė (A Mouse Hunt for Christmas)</t>
  </si>
  <si>
    <t>Penkios naktys pas Fredį 2 (Five Nights at Freddy's 2)</t>
  </si>
  <si>
    <t>Smėlis tavo plaukuose</t>
  </si>
  <si>
    <t>Slaptažodis: Kalėdos (Mission Santa: Yoyo to the Rescue)</t>
  </si>
  <si>
    <t>Apgaulės meistrai 3 (Now You See Me Now You Don’t)</t>
  </si>
  <si>
    <t>Niurnbergas (Nuremberg)</t>
  </si>
  <si>
    <t>Spermagedonas (Spermaggedon)</t>
  </si>
  <si>
    <t>Meilės melodija (Song Sung Blue)</t>
  </si>
  <si>
    <t>Piktoji. Antra dalis (Wicked: For Good)</t>
  </si>
  <si>
    <t>Viškis piškis ir švilpiko paslaptis (Chickenhare and the Secret of the Groundhog)</t>
  </si>
  <si>
    <t>Mirk, mano meile (Die My Love)</t>
  </si>
  <si>
    <t>Uždraustos svajos (Dreams)</t>
  </si>
  <si>
    <t>Bugonija (Bugonia)</t>
  </si>
  <si>
    <t>Amžinai kartu (Eternity)</t>
  </si>
  <si>
    <t>Angelo kiaušinis (4K restauracija) Tenshi no Tamago (4K restoration)</t>
  </si>
  <si>
    <t>Potvynis (Flow)</t>
  </si>
  <si>
    <t>632 277 €</t>
  </si>
  <si>
    <t>Theatrical Film Distribution / WDSMPI</t>
  </si>
  <si>
    <t xml:space="preserve">Dukine Film Distribution / Paramount </t>
  </si>
  <si>
    <t>ACME Film / SONY</t>
  </si>
  <si>
    <t xml:space="preserve">ACME Film </t>
  </si>
  <si>
    <t>Cinema Ads</t>
  </si>
  <si>
    <t>ACME Film</t>
  </si>
  <si>
    <t>Best Film</t>
  </si>
  <si>
    <t>Garsų pasaulio įrašai</t>
  </si>
  <si>
    <t>Preview</t>
  </si>
  <si>
    <t>Adastra Cinema</t>
  </si>
  <si>
    <t>Europos kinas</t>
  </si>
  <si>
    <t>Katinas vaiduoklis Andzu (Ghost Cat Anzu)</t>
  </si>
  <si>
    <t>N</t>
  </si>
  <si>
    <t>Tėvas Motina Sesuo Brolis (Father Mother Sister Brother)</t>
  </si>
  <si>
    <t>A-One Films</t>
  </si>
  <si>
    <t>Ant pasaulio krašto (Tafiti)</t>
  </si>
  <si>
    <t>P</t>
  </si>
  <si>
    <t>Mūšis po mūšio (One Battle After Another)</t>
  </si>
  <si>
    <t>ACME Film / WB</t>
  </si>
  <si>
    <t>10 Katino Gyvenimų (10 Lives)</t>
  </si>
  <si>
    <t>Panda vardu Mėnulis (Moon the Panda)</t>
  </si>
  <si>
    <t>200% Vilkas (200% Wolf)</t>
  </si>
  <si>
    <t>Super elfai (Super elfkins)</t>
  </si>
  <si>
    <t>Svajonės (Drømmer)</t>
  </si>
  <si>
    <t>Šeima nuomai (Rental Family)</t>
  </si>
  <si>
    <t>Total (30)</t>
  </si>
  <si>
    <t>493 524 €</t>
  </si>
  <si>
    <t>Grenlandija 2: Migracija (Greenland: Migration)</t>
  </si>
  <si>
    <t>Materialistai (Materialists)</t>
  </si>
  <si>
    <t>Diplodokas (Diplodocus)</t>
  </si>
  <si>
    <t>Išpuikusi princesė (Proud Princess)</t>
  </si>
  <si>
    <t>Irena</t>
  </si>
  <si>
    <t>Monstrų vakarėlis (Night of the Zoopocalypse)</t>
  </si>
  <si>
    <t>Slaptasis agentas (O Agente Secreto)</t>
  </si>
  <si>
    <t>Milijonieriaus jubiliejus</t>
  </si>
  <si>
    <t>Poetà (Un poeta)</t>
  </si>
  <si>
    <t>Orwell: 2+2=5</t>
  </si>
  <si>
    <t>Vabalo filmai</t>
  </si>
  <si>
    <t>Total (32)</t>
  </si>
  <si>
    <t>Taip toliau</t>
  </si>
  <si>
    <t>575 531 €</t>
  </si>
  <si>
    <t>Malonė (La Grazia)</t>
  </si>
  <si>
    <t>Arklio Dominyko kelionė į žvaigždes</t>
  </si>
  <si>
    <t>28 metai po: Kaulų šventykla (28 years later: The Bone Temple)</t>
  </si>
  <si>
    <t>Kartu iš meilės šunims (Puppy love)</t>
  </si>
  <si>
    <t xml:space="preserve"> 2023-08-25</t>
  </si>
  <si>
    <t>Heidi ir mažasis lūšiukas (Heidi - Die Legende vom Luchs)</t>
  </si>
  <si>
    <t>Hamnetas (Hamnet)</t>
  </si>
  <si>
    <t>Bjaurioji sesuo (Den stygge stesøsteren)</t>
  </si>
  <si>
    <t>Estinfilm</t>
  </si>
  <si>
    <t>Total (31)</t>
  </si>
  <si>
    <t>497 553 €</t>
  </si>
  <si>
    <t>Tarnaitė (The Housemaid)</t>
  </si>
  <si>
    <t>Nuteisti negalima pasigailėti (Mercy)</t>
  </si>
  <si>
    <t>Tigro kelionė Himalajuose (Tiger Nest)</t>
  </si>
  <si>
    <t>Primatas (Primate)</t>
  </si>
  <si>
    <t>Didysis Martis (Marty Supreme)</t>
  </si>
  <si>
    <t>Theatrical Film Distribution</t>
  </si>
  <si>
    <t>Traukiniai</t>
  </si>
  <si>
    <t>TBA</t>
  </si>
  <si>
    <t>Era Film</t>
  </si>
  <si>
    <t>510 708 €</t>
  </si>
  <si>
    <t>Sausio 30–vasario 1 d. Lietuvos kino teatruose rodytų filmų topas
January 30–February 1 Lithuanian top</t>
  </si>
  <si>
    <t>Sausio 23–25 d. Lietuvos kino teatruose rodytų filmų topas
January 23–25 Lithuanian top</t>
  </si>
  <si>
    <t>Sausio 16–18 d. Lietuvos kino teatruose rodytų filmų topas
January 16–18 Lithuanian top</t>
  </si>
  <si>
    <t>Sausio 9–11 d. Lietuvos kino teatruose rodytų filmų topas
January 9–11 Lithuanian top</t>
  </si>
  <si>
    <t>Sausio 2–4 d. Lietuvos kino teatruose rodytų filmų topas
January 2–4 Lithuanian top</t>
  </si>
  <si>
    <t>Badautojų namelis</t>
  </si>
  <si>
    <t>Lėja ir kengūriukas (Kangaroo)</t>
  </si>
  <si>
    <t>Šuo 51 (Chien 51)</t>
  </si>
  <si>
    <t>Priedanga (Shelter)</t>
  </si>
  <si>
    <t>Gelbėkit (Send Help)</t>
  </si>
  <si>
    <t>Column2</t>
  </si>
  <si>
    <t>Total (29)</t>
  </si>
  <si>
    <t>Vasario 6–8 d. Lietuvos kino teatruose rodytų filmų topas
February 6–8 Lithuanian top</t>
  </si>
  <si>
    <t>413 823 €</t>
  </si>
  <si>
    <t>Kinų jūra</t>
  </si>
  <si>
    <t>Sugrįžimas į Tyliąją Kalvą (Return to Silent Hill)</t>
  </si>
  <si>
    <t>Nėra kitos išeities (No Other Choice)</t>
  </si>
  <si>
    <t>Dygsniukas, monstrų sergėtojas (Stitch Head)</t>
  </si>
  <si>
    <t>Siratas (Sirât)</t>
  </si>
  <si>
    <t>Total (27)</t>
  </si>
  <si>
    <t>Con artist / Film Jam</t>
  </si>
  <si>
    <t>371 891 €</t>
  </si>
  <si>
    <t xml:space="preserve">Vesper </t>
  </si>
  <si>
    <t>Turtingiausia pasaulio moteris (The Richest Woman in the World)</t>
  </si>
  <si>
    <t>Vėtrų kalnas (Wuthering Heights)</t>
  </si>
  <si>
    <t>Kelias į nusikaltimą (Crime 101)</t>
  </si>
  <si>
    <t>Švilpukas (Whistle)</t>
  </si>
  <si>
    <t>Goat: visų laikų geriausias (Goat)</t>
  </si>
  <si>
    <t>Nusidėjėliai (Sinners)</t>
  </si>
  <si>
    <t>Mija ir baltasis liūtas (Mia and the White Lions)</t>
  </si>
  <si>
    <t>Balerina (Ballerina)</t>
  </si>
  <si>
    <t>Užkratas (Cold Storage)</t>
  </si>
  <si>
    <t>Kai nesitiki</t>
  </si>
  <si>
    <t>Vasario 13–15 d. Lietuvos kino teatruose rodytų filmų topas
February 13–15 Lithuanian top</t>
  </si>
  <si>
    <t xml:space="preserve">Šeima į gamtą </t>
  </si>
  <si>
    <t>Mental machinery</t>
  </si>
  <si>
    <t>Čarlis nuostabusis (Charlie The Wonderdog)</t>
  </si>
  <si>
    <t>Vasario 20–22 d. Lietuvos kino teatruose rodytų filmų topas
February 20–22 Lithuanian top</t>
  </si>
  <si>
    <t>651 911 €</t>
  </si>
  <si>
    <t>Žvelgiant į saulę (In die Sonne schauen)</t>
  </si>
  <si>
    <t>Kai ateina ruduo (When Fall Is Coming)</t>
  </si>
  <si>
    <t>Paskutinis vikingas (The Last Viking)</t>
  </si>
  <si>
    <t>Stilingo žudymo vadovas (How to Make a Killing)</t>
  </si>
  <si>
    <t>Kosminiai draugai (Headspace)</t>
  </si>
  <si>
    <t>Mažasis čempionas (Runt)</t>
  </si>
  <si>
    <t>Sapnų kūrėjai (Dreambuilders)</t>
  </si>
  <si>
    <t>Ar mane girdite? (Is This Thing On?)</t>
  </si>
  <si>
    <t>Total (37)</t>
  </si>
  <si>
    <t>Baltas filmas</t>
  </si>
  <si>
    <t>Zitai</t>
  </si>
  <si>
    <t>A Propos studija</t>
  </si>
  <si>
    <t>Total (38)</t>
  </si>
  <si>
    <t>Vasario 27–kovo 1 d. Lietuvos kino teatruose rodytų filmų topas
February 27–March 1 Lithuanian top</t>
  </si>
  <si>
    <t>556 512 €</t>
  </si>
  <si>
    <t>Super Čarlis (Super-Charlie)</t>
  </si>
  <si>
    <t>Fakemo dvaras (Fakham Hall)</t>
  </si>
  <si>
    <t>Legali kultūra</t>
  </si>
  <si>
    <t>Galinė sėdynė (Pillion)</t>
  </si>
  <si>
    <t>Užburtas miškas (Angelo dans la forêt mystérieuse)</t>
  </si>
  <si>
    <t>Sutikau žmogų</t>
  </si>
  <si>
    <t>Artišokai</t>
  </si>
  <si>
    <t>Respublikos ereliai (Eagles of the Republic)</t>
  </si>
  <si>
    <t>Mados užkulisiai (Couture)</t>
  </si>
  <si>
    <t>Šuo kuris keliavo traukiniu (Lampo The Travelling Dog)</t>
  </si>
  <si>
    <t>Klyksmas 7 (Scream 7)</t>
  </si>
  <si>
    <t>Šaukiu, rėkiu, keikiu (I Swear)</t>
  </si>
  <si>
    <t>EPiC: Elvis Presley koncertuose (EPiC: Elvis Presley in Concert)</t>
  </si>
  <si>
    <t xml:space="preserve">Theatrical Film Distribution </t>
  </si>
  <si>
    <t>Kovo  6–8 d. Lietuvos kino teatruose rodytų filmų topas
March 6–8 Lithuanian top</t>
  </si>
  <si>
    <t>423 904 €</t>
  </si>
  <si>
    <t>Nuotaka! (Bride)</t>
  </si>
  <si>
    <t>Šokliai (Hoppers)</t>
  </si>
  <si>
    <t>Nuodas</t>
  </si>
  <si>
    <t>Total (28)</t>
  </si>
  <si>
    <t>368 854 €</t>
  </si>
  <si>
    <t>F1 Filmas (F1 Movie)</t>
  </si>
  <si>
    <t>Jūrų slibinas, nemokėjęs plaukti (Ruffen - Sjøormen som ikke kunne svømme)</t>
  </si>
  <si>
    <t>Liepsnojanti širdis (Fireheart)</t>
  </si>
  <si>
    <t>Viengungis Italijoje (Solo Mio)</t>
  </si>
  <si>
    <t>Kovo 13–15 d. Lietuvos kino teatruose rodytų filmų topas
March 13–15 Lithuanian top</t>
  </si>
  <si>
    <t>Kovo 20–22 d. Lietuvos kino teatruose rodytų filmų topas
March 20–22 Lithuanian top</t>
  </si>
  <si>
    <t>189 773 €</t>
  </si>
  <si>
    <t>Miškų bastūnai 2 (Woodwalkers 2)</t>
  </si>
  <si>
    <t>Isterija (Hysteria)</t>
  </si>
  <si>
    <t>Unlimited Media OÜ</t>
  </si>
  <si>
    <t>Projektas „Sveika, Marija“ (Project Hail Mary)</t>
  </si>
  <si>
    <t>Meškiukas Padingtonas 2 (Paddington 2)</t>
  </si>
  <si>
    <t>Nutrūktgalviai: Don Kichoto pėdsakais (Giants of La Mancha)</t>
  </si>
  <si>
    <t>Slėpynės 2. Einu ieškoti (Ready Or Not 2. Here I come)</t>
  </si>
  <si>
    <t>Total (26)</t>
  </si>
  <si>
    <t>228 671 €</t>
  </si>
  <si>
    <t>Kovo 27–29 d. Lietuvos kino teatruose rodytų filmų topas
March 27–29 Lithuanian top</t>
  </si>
  <si>
    <t>Sentimental value (Affeksjonsverdi)</t>
  </si>
  <si>
    <t>Renovacija</t>
  </si>
  <si>
    <t>Suaugusiųjų žaidimai (Folichonneries)</t>
  </si>
  <si>
    <t>Kairiarankė (Zuopiezi nuhai)</t>
  </si>
  <si>
    <t>Hind Radžab balsas (Sawt Hind Rajab)</t>
  </si>
  <si>
    <t>Francas (Franz)</t>
  </si>
  <si>
    <t xml:space="preserve">Tiesiog atsitikimas (Yek tasadof-e sadeh) </t>
  </si>
  <si>
    <t>Donis Darko (Donnie Darko)</t>
  </si>
  <si>
    <t>Labas, Frida! (Hola Frida)</t>
  </si>
  <si>
    <t>Merė Aning (Mary Anning)</t>
  </si>
  <si>
    <t xml:space="preserve">Akiplėša </t>
  </si>
  <si>
    <t>Blogiausias žmogus pasaulyje (Verdens verste menneske)</t>
  </si>
  <si>
    <t>Po debesimis (Sotto le nuvole)</t>
  </si>
  <si>
    <t>Jie tave nužudys (They Will Kill You)</t>
  </si>
  <si>
    <t>Stebuklingas Tolumų medis (The Magic Faraway Tree)</t>
  </si>
  <si>
    <t>Viskas primena tave (Reminders of him)</t>
  </si>
  <si>
    <t>Dukine Film Distribution / Universal Pictures International</t>
  </si>
  <si>
    <t>Meilė atskirose lovose (Love in separate beds)</t>
  </si>
  <si>
    <t>Iki pergalės! (За Перемогу!)</t>
  </si>
  <si>
    <t>M-Films</t>
  </si>
  <si>
    <t>Balandžio 3–5 d. Lietuvos kino teatruose rodytų filmų topas
April 3–5 Lithuanian top</t>
  </si>
  <si>
    <t>Raganosis Rino (Thabo and the Rhino Case)</t>
  </si>
  <si>
    <t>Primavera</t>
  </si>
  <si>
    <t>Mergaitė vardu Gluosnė (Girl Named Willow)</t>
  </si>
  <si>
    <t>Katytė Moksi (Miss Moxy)</t>
  </si>
  <si>
    <t>Super Mario galaktikos filmas (The Super Mario Galaxy Movie)</t>
  </si>
  <si>
    <t>Total (41)</t>
  </si>
  <si>
    <t>Driskius (Urchin)</t>
  </si>
  <si>
    <t>Liumjerai! Nuotykiai tęsiasi (Lumiere! The Adventure Continues)</t>
  </si>
  <si>
    <t>288 873 €</t>
  </si>
  <si>
    <t>Balandžio 10–12 d. Lietuvos kino teatruose rodytų filmų topas
April 10–12 Lithuanian top</t>
  </si>
  <si>
    <t>230 094 €</t>
  </si>
  <si>
    <t>Arko (Arco)</t>
  </si>
  <si>
    <t>Ragautojos (Le assaggiatrici)</t>
  </si>
  <si>
    <t>Tamsios sielvarto plunksnos (The Thing With Feathers)</t>
  </si>
  <si>
    <t>Danka</t>
  </si>
  <si>
    <t>Ozi. Miško balsas (Ozi: Voice Of The Forest)</t>
  </si>
  <si>
    <t>Augintinių ekspresas (Pets on a Train)</t>
  </si>
  <si>
    <t>Drugelio Širdis</t>
  </si>
  <si>
    <t>Dulkės, kaulai ir stebuklai (Holy Destructors)</t>
  </si>
  <si>
    <t>Vištelė (Kota)</t>
  </si>
  <si>
    <t>Sniego žmogus (The Yeti)</t>
  </si>
  <si>
    <t>Amerikietiška svajonė (Le rêve américain)</t>
  </si>
  <si>
    <t>Prisikėlimas (Resurrection)</t>
  </si>
  <si>
    <t>Totali drama (The Drama)</t>
  </si>
  <si>
    <t>Total (42)</t>
  </si>
  <si>
    <t>Balandžio 17–19 d. Lietuvos kino teatruose rodytų filmų topas
April 17–19 Lithuanian top</t>
  </si>
  <si>
    <t>298 386 €</t>
  </si>
  <si>
    <t>Lee Cronino „Mumija“ (Lee Cronin‘s The Mummy)</t>
  </si>
  <si>
    <t>Dykumos vaikai (L‘Enfant du Desert)</t>
  </si>
  <si>
    <t>Tarp šviesos ir šešėlių (Les Rayons et les Ombres)</t>
  </si>
  <si>
    <t>Šuo, kuris keliavo traukiniu 2 (Lampo, The Travelling Dog 2)</t>
  </si>
  <si>
    <t>Didžioji arka (The Great Arch)</t>
  </si>
  <si>
    <t>Romerija (Romería)</t>
  </si>
  <si>
    <t>Kino pasaka</t>
  </si>
  <si>
    <t>Balandžio 24–26 d. Lietuvos kino teatruose rodytų filmų topas
April 24–26 Lithuanian top</t>
  </si>
  <si>
    <t>209 088 €</t>
  </si>
  <si>
    <t>Žuviukas Niurzga (The Pout Pout Fish)</t>
  </si>
  <si>
    <t>Šerifui šakės (Normal)</t>
  </si>
  <si>
    <t>Slaptasis aukštas (Das Geheime Stockwerk)</t>
  </si>
  <si>
    <t>Maiklas (Michael)</t>
  </si>
  <si>
    <t>Namie geriausia (Dom Dobry)</t>
  </si>
  <si>
    <t>Total (51)</t>
  </si>
  <si>
    <t>Gegužės 1–3 d. Lietuvos kino teatruose rodytų filmų topas
May 1–3 Lithuanian top</t>
  </si>
  <si>
    <t>347 966 €</t>
  </si>
  <si>
    <t>Įžūlus apiplėšimas (Fuze)</t>
  </si>
  <si>
    <t>Spygliukė (Spiked)</t>
  </si>
  <si>
    <t>Begalybė (L’immensita)</t>
  </si>
  <si>
    <t>Mažytė mama (Petite maman)</t>
  </si>
  <si>
    <t>Renuaras (Runowâru)</t>
  </si>
  <si>
    <t>Hokum</t>
  </si>
  <si>
    <t>Avys detektyvės (The Sheep Detectives)</t>
  </si>
  <si>
    <t>Ir velnias dėvi Prada 2 (The Devil Wears Prada 2)</t>
  </si>
  <si>
    <t>Gegužės 8–10 d. Lietuvos kino teatruose rodytų filmų topas
May 8–10 Lithuanian top</t>
  </si>
  <si>
    <t>377 326 €</t>
  </si>
  <si>
    <t>Mažoji Amelija (Amélie ou la Métaphysique des Tubes)</t>
  </si>
  <si>
    <t>Mortal Kombat 2</t>
  </si>
  <si>
    <t>Iron Maiden: Burning Ambition</t>
  </si>
  <si>
    <t>Kitų akimis (Gli occhi degli altri)</t>
  </si>
  <si>
    <t>Svečias</t>
  </si>
  <si>
    <t>Vieniša mama (Solomamma)</t>
  </si>
  <si>
    <t>Dansu Films</t>
  </si>
  <si>
    <t>Malagos gatvė (Calle Málaga)</t>
  </si>
  <si>
    <t>Mylėk mane švelniai (Love Me Tender)</t>
  </si>
  <si>
    <t>Total (39)</t>
  </si>
  <si>
    <t>Parazitas (Parasite)</t>
  </si>
  <si>
    <t>Kryčio anatomija (Anatomie d'une chute)</t>
  </si>
  <si>
    <t>Tik per tavo lavoną (Over Your Dead Body)</t>
  </si>
  <si>
    <t>Dukine Film Distribution / Paramount</t>
  </si>
  <si>
    <t>Asas Maverikas (Top Gun: Maverick)</t>
  </si>
  <si>
    <t>Šeima nuomai (The Rental Family)</t>
  </si>
  <si>
    <t>411 561 €</t>
  </si>
  <si>
    <t>Pilkoji zona (In the Grey)</t>
  </si>
  <si>
    <t>Legendiniai (Les Légendaires)</t>
  </si>
  <si>
    <t>Asai (Top Gun) (1986)</t>
  </si>
  <si>
    <t>Gegužės 15–17 d. Lietuvos kino teatruose rodytų filmų topas
May 15–17 Lithuanian top</t>
  </si>
  <si>
    <t>Gegužės 22–24 d. Lietuvos kino teatruose rodytų filmų topas
May 22–24 Lithuanian top</t>
  </si>
  <si>
    <t>206 263 €</t>
  </si>
  <si>
    <t>Total (40)</t>
  </si>
  <si>
    <t>Ralis: nuo Paryžiaus iki Dakaro (Rally From Paris to the Pyramids)</t>
  </si>
  <si>
    <t>Keleivis (Passenger)</t>
  </si>
  <si>
    <t>Žvaigždžių karai: Mandalorietis ir Grogu (Star Wars: The Mandalorian and Grogu)</t>
  </si>
  <si>
    <t>Kur dingo Ana Frank? (Where Is Anne Frank?)</t>
  </si>
  <si>
    <t>Backrooms</t>
  </si>
  <si>
    <t>Ozi. Miško balsas (Ozi: Voice of the Forest)</t>
  </si>
  <si>
    <t>Seifų virtuozas (Tuner)</t>
  </si>
  <si>
    <t>Merė Aning (Marry Aning)</t>
  </si>
  <si>
    <t>Birželio 5–7 d. Lietuvos kino teatruose rodytų filmų topas
June 5–7 Lithuanian top</t>
  </si>
  <si>
    <t>Po saulės (Aftersun)</t>
  </si>
  <si>
    <t>Tėvas (Father)</t>
  </si>
  <si>
    <t>Renuaras (Renoir)</t>
  </si>
  <si>
    <t>Vandens chronologija (Chronology of Water)</t>
  </si>
  <si>
    <t>Siratas (Sirāt)</t>
  </si>
  <si>
    <t>Miškų bastūnai (Woodwalkers)</t>
  </si>
  <si>
    <t>Eli ir jos monstrų komanda (Elli and her Monster Team)</t>
  </si>
  <si>
    <t>Padūkėlis Marsupilamis (Marsupilami)</t>
  </si>
  <si>
    <t>Masters of the Universe (Visatos valdovai)</t>
  </si>
  <si>
    <t>Didžiosios lenktynės po Europa (Grand Prix of Europe)</t>
  </si>
  <si>
    <t>Pats baisiausias filmas (Scary Movie 6)</t>
  </si>
  <si>
    <t>Dukine Film Distribution / Paramount Pictures</t>
  </si>
  <si>
    <t>Grafas Montekristas (The Count of Monte-Cristo)</t>
  </si>
  <si>
    <t>Didysis Martis (Martis Supreme)</t>
  </si>
  <si>
    <t>Reivas! (Rave On)</t>
  </si>
  <si>
    <t>Slaptas aukštas (Das geheime Stockwerk)</t>
  </si>
  <si>
    <t>Total (58)</t>
  </si>
  <si>
    <t>Birželio 12–14 d. Lietuvos kino teatruose rodytų filmų topas
June 12–14 Lithuanian top</t>
  </si>
  <si>
    <t>Džiulian (Julian)</t>
  </si>
  <si>
    <t>Teresė. Prieš tampant šventąja (Mother)</t>
  </si>
  <si>
    <t>Kapitonas Kardadantis ir Greilio grafienė (Kaptein Sabeltann og Grevinnen av Gral)</t>
  </si>
  <si>
    <t>Gyvenk drąsiai (Living Large)</t>
  </si>
  <si>
    <t>Apsėdimas (Obsession)</t>
  </si>
  <si>
    <t>Tiesos diena (Disclosure Day)</t>
  </si>
  <si>
    <t>Baltoji paukštė (White Bird A Wonder Story)</t>
  </si>
  <si>
    <t>Total (36)</t>
  </si>
  <si>
    <t>Birželio 19–21 d. Lietuvos kino teatruose rodytų filmų topas
June 19–21 Lithuanian top</t>
  </si>
  <si>
    <t>Žaislų istorija 5 (Toy Story 5)</t>
  </si>
  <si>
    <t>EPiC: Elvis Presley koncertuose (EPiC: Elvis Presley in Concert )</t>
  </si>
  <si>
    <t>Bojarskio byla (The Money Maker)</t>
  </si>
  <si>
    <t>Lokio irštva (Bear Country)</t>
  </si>
  <si>
    <t>Be stabdžių (Driver's Ed)</t>
  </si>
  <si>
    <t>Magiškų gyvūnų mokykla
(School Of Magical Animals)</t>
  </si>
  <si>
    <t>Suaugusių žaidimai (Folichonneries)</t>
  </si>
  <si>
    <t>Nevados rožė (Rose of Nevada)</t>
  </si>
  <si>
    <t>Birželio 26–28 d. Lietuvos kino teatruose rodytų filmų topas
June 26–28 Lithuanian top</t>
  </si>
  <si>
    <t>RaveON!</t>
  </si>
  <si>
    <t>1426,35</t>
  </si>
  <si>
    <t>Jackass laiminga pabaiga (Jackass: Best and Last)</t>
  </si>
  <si>
    <t>Dantės rankraštis (In the Hand of Dante)</t>
  </si>
  <si>
    <t>Arklio Dominyko Kelionė į Žvaigždes</t>
  </si>
  <si>
    <t>Supermergina (Supergirl)</t>
  </si>
  <si>
    <t>Ant pasaulio krašto (Tafiti: Across the Desert)</t>
  </si>
  <si>
    <t>Robino Hudo mirtis (The Death of Robin Hood)</t>
  </si>
  <si>
    <t>Pakalikai ir monstrai (Minions &amp; Monsters)</t>
  </si>
  <si>
    <t>Naktis ir diena (Virginia Woolf's Night &amp; Day)</t>
  </si>
  <si>
    <t>Gyvenimo virtuvė (La Vida Padre)</t>
  </si>
  <si>
    <t>Kvietimas (The Invite)</t>
  </si>
  <si>
    <t>Flykas (Fleak)</t>
  </si>
  <si>
    <t>Didžiosios lenktynės po Europą (Grand Prix Of Europe)</t>
  </si>
  <si>
    <t>Liepos 3–5 d. Lietuvos kino teatruose rodytų filmų topas
July 3–5 Lithuanian top</t>
  </si>
  <si>
    <t>Liepos 10–12 d. Lietuvos kino teatruose rodytų filmų topas
July 10–12 Lithuanian top</t>
  </si>
  <si>
    <t>Vajana (Moana (Live action))</t>
  </si>
  <si>
    <t>2033,5</t>
  </si>
  <si>
    <t>Piktieji numirėliai dega (Evil Dead Burn)</t>
  </si>
  <si>
    <t>Svajonių kedai (Sneaks)</t>
  </si>
  <si>
    <t>Liepos 17–19 d. Lietuvos kino teatruose rodytų filmų topas
July 17–19 Lithuanian top</t>
  </si>
  <si>
    <t>Kolonija (Colony)</t>
  </si>
  <si>
    <t>Odisėja (The Odyssey)</t>
  </si>
  <si>
    <t>Sentimentali vertė (Sentimental Value)</t>
  </si>
  <si>
    <t>Renovacija (Renovation)</t>
  </si>
  <si>
    <t>31443,63</t>
  </si>
  <si>
    <t>Liepos 24–26 d. Lietuvos kino teatruose rodytų filmų topas
July 24–26 Lithuanian top</t>
  </si>
  <si>
    <t>Tai, ką nutylime
(The Things Left Unspoken)</t>
  </si>
  <si>
    <t>31544,63</t>
  </si>
  <si>
    <t>21871,1</t>
  </si>
  <si>
    <t>Alkis (Hungry)</t>
  </si>
  <si>
    <t>Banginiukas Vincentas (The Last Whale Singer)</t>
  </si>
  <si>
    <t>Agentas Hitpigas (Hitpig)</t>
  </si>
  <si>
    <t>Kitų akimis (The Eyes of Others)</t>
  </si>
  <si>
    <t>Narsioji Kajara (Kayara)</t>
  </si>
  <si>
    <t>Žmogus-voras: Nauja diena (Spider-Man: Brand New Day)</t>
  </si>
  <si>
    <t>Žudanti virtuvė (Morte Cucina)</t>
  </si>
  <si>
    <t>Total (33)</t>
  </si>
  <si>
    <t>Liepos 31–rugpjūčio 2 d. Lietuvos kino teatruose rodytų filmų topas
July 31–August 2 Lithuanian top</t>
  </si>
  <si>
    <t>Gegužės 29– 31d. Lietuvos kino teatruose rodytų filmų topas
May 29–31 Lithuanian top</t>
  </si>
  <si>
    <t>Šauniausi policininkai 3 (Super Troopers 3)</t>
  </si>
  <si>
    <t>3527,64</t>
  </si>
  <si>
    <t>Rugpjūčio 7–9 d. Lietuvos kino teatruose rodytų filmų topas
August 7–August 9 Lithuanian top</t>
  </si>
  <si>
    <t>Eli ir jos monstrų komanda (Elli and Her Monster Team)</t>
  </si>
  <si>
    <t>Ledų pardavėjas (Ice Cream Man)</t>
  </si>
  <si>
    <t>Nugalėtoja (Becoming)</t>
  </si>
  <si>
    <t>M-FILMS</t>
  </si>
  <si>
    <t>Rugpjūčio 14–16 d. Lietuvos kino teatruose rodytų filmų topas
August 14-16 Lithuanian top</t>
  </si>
  <si>
    <t>Tik viena naktis (One Night Only)</t>
  </si>
  <si>
    <t>Šunyčiai patruliai: Dinozaurų filmas (PAW Patrol: The Dino Movie)</t>
  </si>
  <si>
    <t>4332,11</t>
  </si>
  <si>
    <t>Ąžuolų gatvės gale (The End of Oak Street)</t>
  </si>
  <si>
    <t>Svečias (The Visitor)</t>
  </si>
  <si>
    <t>Monstras (Monster)</t>
  </si>
  <si>
    <t>Rugpjūčio 21–23 d. Lietuvos kino teatruose rodytų filmų topas
August 21-23 Lithuanian top</t>
  </si>
  <si>
    <t>Maištas (Mutiny)</t>
  </si>
  <si>
    <t>Ir velnias dėvi Prada 2 (Devil Wears Prada 2)</t>
  </si>
  <si>
    <t>Lidija ir Miglų skrodėjas (Lydia and the Mist Rider
)</t>
  </si>
  <si>
    <t>Tūnąs tamsoje: tarp mūsų (Insidious: Out of the Further)</t>
  </si>
  <si>
    <t>SPA Savaitgalis (Spa Weekend)</t>
  </si>
  <si>
    <t>Likimas ir fantazijos (Wheel of Fortune and Fantasy)</t>
  </si>
  <si>
    <t>Rugpjūčio 28–30 d. Lietuvos kino teatruose rodytų filmų topas
August 28-30 Lithuanian top</t>
  </si>
  <si>
    <t>Tonis (Tony)</t>
  </si>
  <si>
    <t>Gimtadienio šventė (The Birthday Party)</t>
  </si>
  <si>
    <t>Noriu tik sekso (I Want Your Sex)</t>
  </si>
  <si>
    <t>Jaunoji detektyvė Flavija (Flavia de Luce)</t>
  </si>
  <si>
    <t>Haris Poteris ir išminties akmuo (Harry Potter and the Sorcerer's Stone)</t>
  </si>
  <si>
    <t>Haris Poteris ir Ugnies taurė (Harry Potter and the Goblet of Fire)</t>
  </si>
  <si>
    <t>Haris Poteris ir paslapčių kambarys (Harry Potter and the Chamber of Secrets)</t>
  </si>
  <si>
    <t>Haris Poteris ir Fenikso brolija (Haris Poteris Ir Fenikso Brolija)</t>
  </si>
  <si>
    <t>Šuns žvaigždynas (The Dog Stars)</t>
  </si>
  <si>
    <t>Kojotas prieš Akmę (Coyote vs. Acme)</t>
  </si>
  <si>
    <t>Du bilietai į Graikiją (Les Cyclades)</t>
  </si>
  <si>
    <t>Teodoro Ozieravo gulbės giesmė (The Swan Song of Fedor Ozerov)</t>
  </si>
  <si>
    <t>Trys atsisveikinimai (Tre ciotole)</t>
  </si>
  <si>
    <t>Svaiginantis aukštis 2. Aklavietė (Fall 2: Deadpoint)</t>
  </si>
  <si>
    <t>Šturmas (Onslaught)</t>
  </si>
  <si>
    <t>1361,5</t>
  </si>
  <si>
    <t>Rugsėjo 4–6 d. Lietuvos kino teatruose rodytų filmų topas
September 4-6 Lithuanian top</t>
  </si>
  <si>
    <t>Gyvulių ūkis: mažieji herojai (Animal Farm)</t>
  </si>
  <si>
    <t>Titina šiaurės ašigalyje (Titina)</t>
  </si>
  <si>
    <t>Svečias (Visitor)</t>
  </si>
  <si>
    <t>OASIS. Pyktį palik praeityje (Oasis: Don't Look Back in Anger)</t>
  </si>
  <si>
    <t>Skubus pristatymas (Runner)</t>
  </si>
  <si>
    <t>4159. 87</t>
  </si>
  <si>
    <t>Praktinė magija 2 (Practical Magic 2)</t>
  </si>
  <si>
    <t>Arnis ir Barnis (Arnie &amp; Barney)</t>
  </si>
  <si>
    <t>D diena. Prieš audrą (Pressure)</t>
  </si>
  <si>
    <t>Idiotai (Idiots)</t>
  </si>
  <si>
    <t>Rugsėjo 11–13 d. Lietuvos kino teatruose rodytų filmų topas
September 11-13 Lithuanian top</t>
  </si>
  <si>
    <t>Nakties kūdikis (Nightborn)</t>
  </si>
  <si>
    <t>Bestfilm</t>
  </si>
  <si>
    <t>Rugsėjo 18–20 d. Lietuvos kino teatruose rodytų filmų topas
September 18-20 Lithuanian top</t>
  </si>
  <si>
    <t>Skyrybos karo metu</t>
  </si>
  <si>
    <t>Všį "Čiobreliai" (M-Films)</t>
  </si>
  <si>
    <t>Total (21)</t>
  </si>
  <si>
    <t>Magiškų gyvūnų mokykla: slaptas planas (School of Magical Animals 4)</t>
  </si>
  <si>
    <t>Absoliutus blogis (Resident Evil)</t>
  </si>
  <si>
    <t>Aviukas Šonas ir baimės pilnos kelnės (Shaun the Sheep: The Beast of Mossy Bottom)</t>
  </si>
  <si>
    <t>Aukojimas (Sacrifice)</t>
  </si>
  <si>
    <t>Dėl malonumo (Good Vibes Only)</t>
  </si>
  <si>
    <t>Rugsėjo 25–27 d. Lietuvos kino teatruose rodytų filmų topas
September 25-27 Lithuanian top</t>
  </si>
  <si>
    <t>Keršytojai: pabaiga. Specialusis leidimas (Avengers: Endgame Encore)</t>
  </si>
  <si>
    <t>(Ne)Tobuli melagiai (Perfect Strangers)</t>
  </si>
  <si>
    <t>Didysis eteris (Primetime)</t>
  </si>
  <si>
    <t>Žvėries širdis (The Heart of The Beast)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</si>
</sst>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6" formatCode="#,##0\ &quot;€&quot;;[Red]\-#,##0\ &quot;€&quot;"/>
    <numFmt numFmtId="164" formatCode="#,##0\ &quot;€&quot;"/>
    <numFmt numFmtId="165" formatCode="yyyy/mm/dd;@"/>
    <numFmt numFmtId="166" formatCode=";;;"/>
  </numFmts>
  <fonts count="22">
    <font>
      <sz val="9"/>
      <color theme="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9"/>
      <color theme="1"/>
      <name val="Verdana"/>
      <family val="2"/>
      <charset val="186"/>
    </font>
    <font>
      <b/>
      <sz val="12"/>
      <color theme="1"/>
      <name val="Verdana"/>
      <family val="2"/>
      <charset val="186"/>
    </font>
    <font>
      <sz val="11"/>
      <color theme="1"/>
      <name val="Calibri"/>
      <family val="2"/>
      <scheme val="minor"/>
    </font>
    <font>
      <sz val="9"/>
      <name val="Verdana"/>
      <family val="2"/>
      <charset val="186"/>
    </font>
    <font>
      <sz val="10"/>
      <color theme="1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10"/>
      <name val="Arial Cyr"/>
    </font>
    <font>
      <sz val="10"/>
      <color rgb="FF000000"/>
      <name val="Verdana"/>
      <family val="2"/>
      <charset val="186"/>
    </font>
    <font>
      <b/>
      <sz val="10"/>
      <name val="Verdana"/>
      <family val="2"/>
      <charset val="186"/>
    </font>
    <font>
      <b/>
      <sz val="12"/>
      <name val="Verdana"/>
      <family val="2"/>
      <charset val="186"/>
    </font>
    <font>
      <sz val="9"/>
      <name val="Arial"/>
      <family val="2"/>
      <charset val="186"/>
    </font>
    <font>
      <sz val="12"/>
      <color rgb="FF000000"/>
      <name val="Calibri"/>
      <family val="2"/>
    </font>
    <font>
      <sz val="12"/>
      <color rgb="FF000000"/>
      <name val="Calibri"/>
      <family val="2"/>
      <charset val="204"/>
    </font>
    <font>
      <b/>
      <sz val="12"/>
      <color rgb="FFFF0000"/>
      <name val="Verdana"/>
      <family val="2"/>
      <charset val="186"/>
    </font>
    <font>
      <sz val="10"/>
      <color rgb="FFFF0000"/>
      <name val="Verdana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F5F0"/>
        <bgColor indexed="64"/>
      </patternFill>
    </fill>
    <fill>
      <patternFill patternType="solid">
        <fgColor rgb="FFE7F5F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medium">
        <color rgb="FFA5A5A5"/>
      </right>
      <top/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32">
    <xf numFmtId="0" fontId="0" fillId="0" borderId="0"/>
    <xf numFmtId="0" fontId="8" fillId="0" borderId="0"/>
    <xf numFmtId="0" fontId="13" fillId="0" borderId="0"/>
    <xf numFmtId="0" fontId="8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164" fontId="6" fillId="0" borderId="0" xfId="0" applyNumberFormat="1" applyFont="1"/>
    <xf numFmtId="0" fontId="6" fillId="0" borderId="0" xfId="0" applyFont="1" applyAlignment="1">
      <alignment vertical="center"/>
    </xf>
    <xf numFmtId="49" fontId="9" fillId="0" borderId="0" xfId="0" applyNumberFormat="1" applyFont="1" applyAlignment="1">
      <alignment horizontal="center"/>
    </xf>
    <xf numFmtId="165" fontId="6" fillId="0" borderId="0" xfId="0" applyNumberFormat="1" applyFont="1"/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left" vertical="center" wrapText="1"/>
    </xf>
    <xf numFmtId="164" fontId="10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left" vertical="center" wrapText="1"/>
    </xf>
    <xf numFmtId="164" fontId="11" fillId="0" borderId="0" xfId="0" applyNumberFormat="1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1" applyNumberFormat="1" applyFont="1" applyAlignment="1">
      <alignment horizontal="center" vertical="center"/>
    </xf>
    <xf numFmtId="164" fontId="10" fillId="0" borderId="0" xfId="1" applyNumberFormat="1" applyFont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wrapText="1"/>
    </xf>
    <xf numFmtId="0" fontId="6" fillId="3" borderId="0" xfId="0" applyFont="1" applyFill="1"/>
    <xf numFmtId="0" fontId="10" fillId="3" borderId="0" xfId="0" applyFont="1" applyFill="1"/>
    <xf numFmtId="164" fontId="11" fillId="3" borderId="0" xfId="0" applyNumberFormat="1" applyFont="1" applyFill="1" applyAlignment="1">
      <alignment horizontal="center" vertical="center"/>
    </xf>
    <xf numFmtId="166" fontId="11" fillId="3" borderId="1" xfId="0" applyNumberFormat="1" applyFont="1" applyFill="1" applyBorder="1" applyAlignment="1">
      <alignment horizontal="center" wrapText="1"/>
    </xf>
    <xf numFmtId="49" fontId="12" fillId="3" borderId="0" xfId="0" applyNumberFormat="1" applyFont="1" applyFill="1" applyAlignment="1">
      <alignment horizontal="left" vertical="center" wrapText="1"/>
    </xf>
    <xf numFmtId="49" fontId="6" fillId="0" borderId="0" xfId="0" applyNumberFormat="1" applyFont="1"/>
    <xf numFmtId="164" fontId="11" fillId="3" borderId="1" xfId="0" applyNumberFormat="1" applyFont="1" applyFill="1" applyBorder="1" applyAlignment="1">
      <alignment horizontal="center" wrapText="1"/>
    </xf>
    <xf numFmtId="164" fontId="6" fillId="3" borderId="0" xfId="0" applyNumberFormat="1" applyFont="1" applyFill="1"/>
    <xf numFmtId="3" fontId="11" fillId="3" borderId="1" xfId="0" applyNumberFormat="1" applyFont="1" applyFill="1" applyBorder="1" applyAlignment="1">
      <alignment horizontal="center" wrapText="1"/>
    </xf>
    <xf numFmtId="3" fontId="11" fillId="3" borderId="0" xfId="0" applyNumberFormat="1" applyFont="1" applyFill="1" applyAlignment="1">
      <alignment horizontal="center" vertical="center"/>
    </xf>
    <xf numFmtId="3" fontId="6" fillId="0" borderId="0" xfId="0" applyNumberFormat="1" applyFont="1"/>
    <xf numFmtId="3" fontId="6" fillId="3" borderId="0" xfId="0" applyNumberFormat="1" applyFont="1" applyFill="1"/>
    <xf numFmtId="165" fontId="11" fillId="3" borderId="1" xfId="0" applyNumberFormat="1" applyFont="1" applyFill="1" applyBorder="1" applyAlignment="1">
      <alignment horizontal="center" wrapText="1"/>
    </xf>
    <xf numFmtId="165" fontId="6" fillId="3" borderId="0" xfId="0" applyNumberFormat="1" applyFont="1" applyFill="1"/>
    <xf numFmtId="49" fontId="10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6" fillId="3" borderId="0" xfId="0" applyNumberFormat="1" applyFont="1" applyFill="1"/>
    <xf numFmtId="49" fontId="10" fillId="0" borderId="0" xfId="0" applyNumberFormat="1" applyFont="1" applyAlignment="1">
      <alignment horizontal="center" vertical="center"/>
    </xf>
    <xf numFmtId="10" fontId="10" fillId="3" borderId="0" xfId="0" applyNumberFormat="1" applyFont="1" applyFill="1" applyAlignment="1">
      <alignment horizontal="center" vertical="center"/>
    </xf>
    <xf numFmtId="0" fontId="9" fillId="0" borderId="0" xfId="0" applyFont="1"/>
    <xf numFmtId="164" fontId="11" fillId="0" borderId="0" xfId="1" applyNumberFormat="1" applyFont="1" applyAlignment="1">
      <alignment horizontal="center" vertical="center"/>
    </xf>
    <xf numFmtId="3" fontId="11" fillId="0" borderId="0" xfId="1" applyNumberFormat="1" applyFont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wrapText="1"/>
    </xf>
    <xf numFmtId="1" fontId="6" fillId="3" borderId="0" xfId="0" applyNumberFormat="1" applyFont="1" applyFill="1"/>
    <xf numFmtId="1" fontId="6" fillId="0" borderId="0" xfId="0" applyNumberFormat="1" applyFont="1"/>
    <xf numFmtId="1" fontId="10" fillId="3" borderId="0" xfId="0" applyNumberFormat="1" applyFont="1" applyFill="1"/>
    <xf numFmtId="49" fontId="11" fillId="0" borderId="0" xfId="0" applyNumberFormat="1" applyFont="1" applyAlignment="1">
      <alignment horizontal="center" vertical="center"/>
    </xf>
    <xf numFmtId="0" fontId="0" fillId="4" borderId="0" xfId="0" applyFill="1"/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/>
    <xf numFmtId="49" fontId="11" fillId="3" borderId="2" xfId="0" applyNumberFormat="1" applyFont="1" applyFill="1" applyBorder="1" applyAlignment="1">
      <alignment horizontal="center" wrapText="1"/>
    </xf>
    <xf numFmtId="49" fontId="11" fillId="0" borderId="0" xfId="0" applyNumberFormat="1" applyFont="1"/>
    <xf numFmtId="3" fontId="10" fillId="3" borderId="0" xfId="0" applyNumberFormat="1" applyFont="1" applyFill="1"/>
    <xf numFmtId="0" fontId="9" fillId="0" borderId="0" xfId="0" applyFont="1" applyAlignment="1">
      <alignment vertical="center"/>
    </xf>
    <xf numFmtId="0" fontId="9" fillId="3" borderId="0" xfId="0" applyFont="1" applyFill="1"/>
    <xf numFmtId="1" fontId="11" fillId="3" borderId="0" xfId="0" applyNumberFormat="1" applyFont="1" applyFill="1"/>
    <xf numFmtId="49" fontId="15" fillId="3" borderId="0" xfId="0" applyNumberFormat="1" applyFont="1" applyFill="1" applyAlignment="1">
      <alignment horizontal="left" vertical="center" wrapText="1"/>
    </xf>
    <xf numFmtId="10" fontId="11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/>
    <xf numFmtId="1" fontId="9" fillId="3" borderId="0" xfId="0" applyNumberFormat="1" applyFont="1" applyFill="1"/>
    <xf numFmtId="164" fontId="9" fillId="3" borderId="0" xfId="0" applyNumberFormat="1" applyFont="1" applyFill="1"/>
    <xf numFmtId="165" fontId="9" fillId="3" borderId="0" xfId="0" applyNumberFormat="1" applyFont="1" applyFill="1"/>
    <xf numFmtId="49" fontId="9" fillId="3" borderId="0" xfId="0" applyNumberFormat="1" applyFont="1" applyFill="1"/>
    <xf numFmtId="0" fontId="17" fillId="4" borderId="0" xfId="0" applyFont="1" applyFill="1"/>
    <xf numFmtId="1" fontId="9" fillId="0" borderId="0" xfId="0" applyNumberFormat="1" applyFont="1"/>
    <xf numFmtId="49" fontId="9" fillId="0" borderId="0" xfId="0" applyNumberFormat="1" applyFont="1"/>
    <xf numFmtId="164" fontId="9" fillId="0" borderId="0" xfId="0" applyNumberFormat="1" applyFont="1"/>
    <xf numFmtId="3" fontId="9" fillId="0" borderId="0" xfId="0" applyNumberFormat="1" applyFont="1"/>
    <xf numFmtId="165" fontId="9" fillId="0" borderId="0" xfId="0" applyNumberFormat="1" applyFont="1"/>
    <xf numFmtId="164" fontId="15" fillId="3" borderId="0" xfId="0" applyNumberFormat="1" applyFont="1" applyFill="1" applyAlignment="1">
      <alignment horizontal="center" vertical="center" wrapText="1"/>
    </xf>
    <xf numFmtId="1" fontId="11" fillId="3" borderId="0" xfId="0" applyNumberFormat="1" applyFont="1" applyFill="1" applyAlignment="1">
      <alignment horizontal="left" vertical="center"/>
    </xf>
    <xf numFmtId="0" fontId="9" fillId="5" borderId="0" xfId="0" applyFont="1" applyFill="1"/>
    <xf numFmtId="0" fontId="11" fillId="0" borderId="0" xfId="0" applyFont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6" fontId="18" fillId="0" borderId="0" xfId="0" applyNumberFormat="1" applyFont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6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49" fontId="11" fillId="0" borderId="5" xfId="0" applyNumberFormat="1" applyFont="1" applyBorder="1" applyAlignment="1">
      <alignment horizontal="left" vertical="center" wrapText="1"/>
    </xf>
    <xf numFmtId="0" fontId="9" fillId="6" borderId="0" xfId="0" applyFont="1" applyFill="1"/>
    <xf numFmtId="165" fontId="10" fillId="0" borderId="3" xfId="0" applyNumberFormat="1" applyFont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7" borderId="0" xfId="0" applyFont="1" applyFill="1"/>
    <xf numFmtId="0" fontId="9" fillId="7" borderId="0" xfId="0" applyFont="1" applyFill="1"/>
    <xf numFmtId="49" fontId="10" fillId="0" borderId="3" xfId="0" applyNumberFormat="1" applyFont="1" applyBorder="1" applyAlignment="1">
      <alignment horizontal="left" vertical="center" wrapText="1"/>
    </xf>
    <xf numFmtId="164" fontId="10" fillId="3" borderId="0" xfId="0" applyNumberFormat="1" applyFont="1" applyFill="1" applyAlignment="1">
      <alignment horizontal="center" vertical="center"/>
    </xf>
    <xf numFmtId="3" fontId="10" fillId="3" borderId="0" xfId="0" applyNumberFormat="1" applyFont="1" applyFill="1" applyAlignment="1">
      <alignment horizontal="center" vertical="center"/>
    </xf>
    <xf numFmtId="10" fontId="21" fillId="0" borderId="0" xfId="0" applyNumberFormat="1" applyFont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49" fontId="11" fillId="0" borderId="0" xfId="0" applyNumberFormat="1" applyFont="1" applyBorder="1" applyAlignment="1">
      <alignment horizontal="left" vertical="center" wrapText="1"/>
    </xf>
  </cellXfs>
  <cellStyles count="32">
    <cellStyle name="Įprastas 2" xfId="3" xr:uid="{EB21DF04-0E2C-42CE-9D44-385283B14D43}"/>
    <cellStyle name="Normal" xfId="0" builtinId="0"/>
    <cellStyle name="Normal 2" xfId="4" xr:uid="{86D4A87A-C086-40F9-BF00-AE4C612E7BBD}"/>
    <cellStyle name="Normal 2 2" xfId="5" xr:uid="{D79E5FA0-D0C8-49D6-BDA8-51C5E4043610}"/>
    <cellStyle name="Normal 2 2 2" xfId="11" xr:uid="{B5DE6A03-4B50-469F-A24F-3359E0E36A1D}"/>
    <cellStyle name="Normal 2 2 2 2" xfId="16" xr:uid="{B727A649-841F-4C86-86C9-335A25B493EB}"/>
    <cellStyle name="Normal 2 2 2 2 2" xfId="30" xr:uid="{32D83652-A1C5-4082-B479-FDDCE16F4C41}"/>
    <cellStyle name="Normal 2 2 2 3" xfId="25" xr:uid="{AC350042-F03C-4F08-846A-CA3D7DCC190C}"/>
    <cellStyle name="Normal 2 2 3" xfId="14" xr:uid="{073FA249-F7F9-4303-A875-C3DDD81AF0AB}"/>
    <cellStyle name="Normal 2 2 3 2" xfId="28" xr:uid="{1A8319E0-A021-46D0-8CFF-922983FE7298}"/>
    <cellStyle name="Normal 2 2 4" xfId="9" xr:uid="{853C4DE7-181C-498C-8B93-ED8CF0EFD34A}"/>
    <cellStyle name="Normal 2 2 4 2" xfId="23" xr:uid="{B3C7B7EE-9577-49B7-9FA4-9D6EB303B5A8}"/>
    <cellStyle name="Normal 2 2 5" xfId="19" xr:uid="{AE7CBADF-881F-48BC-83D1-8E509F72442A}"/>
    <cellStyle name="Normal 2 3" xfId="10" xr:uid="{29127A0D-5421-47A4-97FF-AF955DFE4F34}"/>
    <cellStyle name="Normal 2 3 2" xfId="15" xr:uid="{4B15A847-6D1E-4406-A19A-75A5D88ABA20}"/>
    <cellStyle name="Normal 2 3 2 2" xfId="29" xr:uid="{D0625F44-B655-4E59-89CF-EADFC9863074}"/>
    <cellStyle name="Normal 2 3 3" xfId="24" xr:uid="{6450AE44-6415-4E51-BF84-D3C6E6062558}"/>
    <cellStyle name="Normal 2 4" xfId="1" xr:uid="{00000000-0005-0000-0000-000001000000}"/>
    <cellStyle name="Normal 2 5" xfId="12" xr:uid="{FD5C88A7-2F3A-40FB-9D85-E389C26C2218}"/>
    <cellStyle name="Normal 2 5 2" xfId="26" xr:uid="{6F4B0E4B-5DF0-4882-9271-3500C9EECDEB}"/>
    <cellStyle name="Normal 2 6" xfId="8" xr:uid="{5F296879-1D2B-4485-9432-724346C5E0A2}"/>
    <cellStyle name="Normal 2 6 2" xfId="22" xr:uid="{DD4C0F89-C529-4278-BCB8-73455840A593}"/>
    <cellStyle name="Normal 2 7" xfId="18" xr:uid="{F4AFF5EC-E39F-4DF7-B81B-0DB1229A7BF0}"/>
    <cellStyle name="Normal 3" xfId="6" xr:uid="{E48DD19B-1E13-4B9D-B28F-F7AA69A828FE}"/>
    <cellStyle name="Normal 3 2" xfId="13" xr:uid="{AFBBC558-FAEF-47DC-90BE-91C3E40F95FB}"/>
    <cellStyle name="Normal 3 2 2" xfId="27" xr:uid="{7DEDDBFB-88D2-4E61-84B8-C315C7E862F3}"/>
    <cellStyle name="Normal 3 3" xfId="20" xr:uid="{C75AB4B7-4CFE-43D8-8AE7-E82343242C40}"/>
    <cellStyle name="Обычный 3" xfId="7" xr:uid="{1DC24678-25C2-4F5B-A600-1E34C54CB8BC}"/>
    <cellStyle name="Обычный 3 2" xfId="17" xr:uid="{A1FB6D2E-7308-4015-9806-D6F429878BB4}"/>
    <cellStyle name="Обычный 3 2 2" xfId="31" xr:uid="{9BFADF27-3FEE-4C03-A3D0-6CF3238FA516}"/>
    <cellStyle name="Обычный 3 3" xfId="21" xr:uid="{19210176-8D23-4115-BC64-281C06B906D0}"/>
    <cellStyle name="Обычный_niko_all" xfId="2" xr:uid="{1B85FD59-8985-440C-8578-788FFBDE78D0}"/>
  </cellStyles>
  <dxfs count="137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186"/>
        <scheme val="none"/>
      </font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186"/>
        <scheme val="none"/>
      </font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family val="2"/>
        <charset val="186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FF0000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FF0000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FF0000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FF0000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FF0000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5" formatCode="yyyy/mm/dd;@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FF0000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3" formatCode="#,##0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4" formatCode="0.00%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Verdana"/>
        <family val="2"/>
        <charset val="186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4" formatCode="#,##0\ &quot;€&quot;"/>
      <fill>
        <patternFill patternType="solid">
          <fgColor indexed="64"/>
          <bgColor rgb="FFE7F5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64" formatCode="#,##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" formatCode="0"/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charset val="186"/>
        <scheme val="none"/>
      </font>
      <fill>
        <patternFill patternType="solid">
          <fgColor indexed="64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Verdana"/>
        <family val="2"/>
        <charset val="186"/>
        <scheme val="none"/>
      </font>
      <numFmt numFmtId="30" formatCode="@"/>
      <fill>
        <patternFill patternType="solid">
          <fgColor rgb="FF000000"/>
          <bgColor rgb="FFE7F5F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none">
          <fgColor rgb="FF000000"/>
          <bgColor auto="1"/>
        </patternFill>
      </fill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charset val="186"/>
        <scheme val="none"/>
      </font>
      <numFmt numFmtId="30" formatCode="@"/>
      <fill>
        <patternFill patternType="solid">
          <fgColor indexed="64"/>
          <bgColor rgb="FFE7F5F0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rgb="FFD1E7D8"/>
          <bgColor theme="8" tint="0.79998168889431442"/>
        </patternFill>
      </fill>
    </dxf>
    <dxf>
      <fill>
        <patternFill>
          <bgColor theme="4" tint="0.79998168889431442"/>
        </patternFill>
      </fill>
    </dxf>
  </dxfs>
  <tableStyles count="2" defaultTableStyle="TableStyleMedium2" defaultPivotStyle="PivotStyleLight16">
    <tableStyle name="Table Style 1" pivot="0" count="1" xr9:uid="{0EEDF895-ABA7-4BDC-BFB1-553B25394E7D}">
      <tableStyleElement type="wholeTable" dxfId="1373"/>
    </tableStyle>
    <tableStyle name="Table Style 2" pivot="0" count="1" xr9:uid="{27931E3F-712C-485E-A1F4-53DFE01A40F1}">
      <tableStyleElement type="wholeTable" dxfId="1372"/>
    </tableStyle>
  </tableStyles>
  <colors>
    <mruColors>
      <color rgb="FFE7F5F0"/>
      <color rgb="FFDEEEE3"/>
      <color rgb="FFE8EEF8"/>
      <color rgb="FFEDF7F7"/>
      <color rgb="FFDDEDEF"/>
      <color rgb="FFD1E7D8"/>
      <color rgb="FFD6EADC"/>
      <color rgb="FFBFD3C5"/>
      <color rgb="FFC9E5CE"/>
      <color rgb="FFD4E6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B4D61421-7900-4CB2-9CD0-E82080C5199C}" name="Table13245678910111213141516171819202122232425262728293031323334353637383940" displayName="Table13245678910111213141516171819202122232425262728293031323334353637383940" ref="A2:O33" totalsRowCount="1" headerRowDxfId="1371" dataDxfId="1369" totalsRowDxfId="1368" headerRowBorderDxfId="1370">
  <autoFilter ref="A2:O32" xr:uid="{4D0A8DD3-E526-414E-A150-7082106C7786}"/>
  <sortState xmlns:xlrd2="http://schemas.microsoft.com/office/spreadsheetml/2017/richdata2" ref="A3:O32">
    <sortCondition descending="1" ref="D2:D32"/>
  </sortState>
  <tableColumns count="15">
    <tableColumn id="1" xr3:uid="{AF62C466-E8E0-44FA-A46B-D1437B29E4DF}" name=" " dataDxfId="1367" totalsRowDxfId="1366"/>
    <tableColumn id="2" xr3:uid="{6DE27C17-2A0A-4B95-B39D-27403BEA9539}" name="Column1" totalsRowLabel=" " dataDxfId="1365" totalsRowDxfId="1364"/>
    <tableColumn id="3" xr3:uid="{0757845D-E2EB-41CA-AA14-EEC6612A2168}" name="Filmas _x000a_(Movie)" totalsRowLabel="Total (30)" dataDxfId="1363" totalsRowDxfId="1362"/>
    <tableColumn id="4" xr3:uid="{8DF26F6D-5FE8-48AB-A1E8-17C709385F8B}" name="Pajamos _x000a_(GBO)" totalsRowFunction="sum" dataDxfId="1361" totalsRowDxfId="1360"/>
    <tableColumn id="5" xr3:uid="{FF0A55E4-2C5F-4910-85C9-5B58AF7EF6AD}" name="Pajamos _x000a_praeita sav._x000a_(GBO LW)" totalsRowFunction="sum" dataDxfId="1359" totalsRowDxfId="1358"/>
    <tableColumn id="6" xr3:uid="{09715681-D9A9-4B45-8527-9230776BCED1}" name="Pakitimas_x000a_(Change)" totalsRowFunction="custom" dataDxfId="1357" totalsRowDxfId="1356">
      <calculatedColumnFormula>(#REF!-#REF!)/#REF!</calculatedColumnFormula>
      <totalsRowFormula>(D33-E33)/E33</totalsRowFormula>
    </tableColumn>
    <tableColumn id="7" xr3:uid="{BDE63409-A41A-463C-8146-3404E28E6050}" name="Žiūrovų sk. _x000a_(ADM)" totalsRowFunction="sum" dataDxfId="1355" totalsRowDxfId="1354"/>
    <tableColumn id="8" xr3:uid="{0E2CE1ED-A988-4E4F-B5DE-3944FE278F00}" name="Seansų sk. _x000a_(Show count)" dataDxfId="1353" totalsRowDxfId="1352"/>
    <tableColumn id="9" xr3:uid="{3E0365EA-05D5-4D21-AC34-2CF8FCC38B44}" name="Lankomumo vid._x000a_(Average ADM)" dataDxfId="1351" totalsRowDxfId="1350">
      <calculatedColumnFormula>G3/H3</calculatedColumnFormula>
    </tableColumn>
    <tableColumn id="10" xr3:uid="{A5E0CD22-2EEC-4FBD-8EEF-958ECA97BB3D}" name="Kopijų sk. _x000a_(DCO count)" dataDxfId="1349" totalsRowDxfId="1348"/>
    <tableColumn id="11" xr3:uid="{A3C89716-131F-42DA-8282-6CC678864232}" name="Rodymo savaitė_x000a_(Week on screen)" dataDxfId="1347" totalsRowDxfId="1346"/>
    <tableColumn id="12" xr3:uid="{5C769030-EF42-4A11-8814-B0E7452FA540}" name="Bendros pajamos _x000a_(Total GBO)" dataDxfId="1345" totalsRowDxfId="1344"/>
    <tableColumn id="13" xr3:uid="{530CB57D-B0E4-42CE-9D33-4CA5E7E506F2}" name="Bendras žiūrovų sk._x000a_(Total ADM)" dataDxfId="1343" totalsRowDxfId="1342"/>
    <tableColumn id="14" xr3:uid="{63E68790-FCE4-40EE-9A9E-8483520E0EE3}" name="Premjeros data _x000a_(Release date)" dataDxfId="1341" totalsRowDxfId="1340"/>
    <tableColumn id="15" xr3:uid="{C79D80B4-672E-45D1-9F00-68DDA6646045}" name="Platintojas _x000a_(Distributor)" dataDxfId="1339" totalsRowDxfId="1338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802207DB-B6B6-4DEF-B654-2CCFE46A2F63}" name="Table132456789101112131415161718192021222324252627282930313233343536373839" displayName="Table132456789101112131415161718192021222324252627282930313233343536373839" ref="A2:O36" totalsRowCount="1" headerRowDxfId="1337" dataDxfId="1335" totalsRowDxfId="1334" headerRowBorderDxfId="1336">
  <autoFilter ref="A2:O35" xr:uid="{4D0A8DD3-E526-414E-A150-7082106C7786}"/>
  <sortState xmlns:xlrd2="http://schemas.microsoft.com/office/spreadsheetml/2017/richdata2" ref="A3:O35">
    <sortCondition descending="1" ref="D2:D35"/>
  </sortState>
  <tableColumns count="15">
    <tableColumn id="1" xr3:uid="{DB1B0014-5393-4D0A-9DA5-6CBAAE6A4360}" name=" " dataDxfId="1333" totalsRowDxfId="1332"/>
    <tableColumn id="2" xr3:uid="{1E0B7A6E-E134-44A7-8B31-F42107F1149C}" name="Column1" totalsRowLabel=" " dataDxfId="1331" totalsRowDxfId="1330"/>
    <tableColumn id="3" xr3:uid="{8A1148D7-56CE-4F4A-BC9B-1FE95985114B}" name="Filmas _x000a_(Movie)" totalsRowLabel="Total (33)" dataDxfId="1329" totalsRowDxfId="1328"/>
    <tableColumn id="4" xr3:uid="{A0DC2B47-BF9D-44E7-958D-05C5AC7C9BF8}" name="Pajamos _x000a_(GBO)" totalsRowFunction="sum" dataDxfId="1327" totalsRowDxfId="1326"/>
    <tableColumn id="5" xr3:uid="{2898C7CC-8C55-4F33-9436-FD878EAC0DF3}" name="Pajamos _x000a_praeita sav._x000a_(GBO LW)" totalsRowFunction="sum" dataDxfId="1325" totalsRowDxfId="1324"/>
    <tableColumn id="6" xr3:uid="{BE7790BF-4F4B-4550-92ED-08B940B23E3D}" name="Pakitimas_x000a_(Change)" totalsRowFunction="custom" dataDxfId="1323" totalsRowDxfId="1322">
      <calculatedColumnFormula>(#REF!-#REF!)/#REF!</calculatedColumnFormula>
      <totalsRowFormula>(D36-E36)/E36</totalsRowFormula>
    </tableColumn>
    <tableColumn id="7" xr3:uid="{53E4986E-1ADA-499F-8D5E-0AE4132FAA8B}" name="Žiūrovų sk. _x000a_(ADM)" totalsRowFunction="sum" dataDxfId="1321" totalsRowDxfId="1320"/>
    <tableColumn id="8" xr3:uid="{88678394-DD43-4316-9694-318EDFA60DA2}" name="Seansų sk. _x000a_(Show count)" dataDxfId="1319" totalsRowDxfId="1318"/>
    <tableColumn id="9" xr3:uid="{4FCBE9F7-2990-4F56-A50A-7570C5B2F1A4}" name="Lankomumo vid._x000a_(Average ADM)" dataDxfId="1317" totalsRowDxfId="1316">
      <calculatedColumnFormula>G3/H3</calculatedColumnFormula>
    </tableColumn>
    <tableColumn id="10" xr3:uid="{54C524DC-E87A-4C63-8940-7DB3D45FC7AE}" name="Kopijų sk. _x000a_(DCO count)" dataDxfId="1315" totalsRowDxfId="1314"/>
    <tableColumn id="11" xr3:uid="{0E833FAB-64E8-4F7A-A315-CA5911160256}" name="Rodymo savaitė_x000a_(Week on screen)" dataDxfId="1313" totalsRowDxfId="1312"/>
    <tableColumn id="12" xr3:uid="{F7BEDD9D-88BB-41D2-8B7D-966519064C32}" name="Bendros pajamos _x000a_(Total GBO)" dataDxfId="1311" totalsRowDxfId="1310"/>
    <tableColumn id="13" xr3:uid="{42470D40-C59C-4657-B3F2-49CCB4328FB9}" name="Bendras žiūrovų sk._x000a_(Total ADM)" dataDxfId="1309" totalsRowDxfId="1308"/>
    <tableColumn id="14" xr3:uid="{024F2AC8-FBEA-4362-B695-F8275276306D}" name="Premjeros data _x000a_(Release date)" dataDxfId="1307" totalsRowDxfId="1306"/>
    <tableColumn id="15" xr3:uid="{3E339637-2545-46E6-8F4C-5C87533888B2}" name="Platintojas _x000a_(Distributor)" dataDxfId="1305" totalsRowDxfId="1304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495E8B54-8A2F-46F7-BB53-2AC990E39F32}" name="Table1324567891011121314151617181920212223242526272829303132333435363738" displayName="Table1324567891011121314151617181920212223242526272829303132333435363738" ref="A2:O35" totalsRowCount="1" headerRowDxfId="1303" dataDxfId="1301" totalsRowDxfId="1300" headerRowBorderDxfId="1302">
  <autoFilter ref="A2:O34" xr:uid="{4D0A8DD3-E526-414E-A150-7082106C7786}"/>
  <sortState xmlns:xlrd2="http://schemas.microsoft.com/office/spreadsheetml/2017/richdata2" ref="A3:O33">
    <sortCondition descending="1" ref="D2:D33"/>
  </sortState>
  <tableColumns count="15">
    <tableColumn id="1" xr3:uid="{86B23AB7-C26E-4ADB-B968-FF9C137581D0}" name=" " dataDxfId="1299" totalsRowDxfId="1298"/>
    <tableColumn id="2" xr3:uid="{155A667E-8EA3-48CD-A4C2-F40540F38B85}" name="Column1" totalsRowLabel=" " dataDxfId="1297" totalsRowDxfId="1296"/>
    <tableColumn id="3" xr3:uid="{25E6EF6E-284C-41E1-948F-953E3CF73DEA}" name="Filmas _x000a_(Movie)" totalsRowLabel="Total (21)" dataDxfId="1295" totalsRowDxfId="1294"/>
    <tableColumn id="4" xr3:uid="{26EEAD53-65AC-4577-8217-575CBAA7CC82}" name="Pajamos _x000a_(GBO)" totalsRowFunction="sum" dataDxfId="1293" totalsRowDxfId="1292"/>
    <tableColumn id="5" xr3:uid="{7F4B0FFF-4987-4EAA-AD0E-7F72CF6E08DE}" name="Pajamos _x000a_praeita sav._x000a_(GBO LW)" totalsRowFunction="sum" dataDxfId="1291" totalsRowDxfId="1290"/>
    <tableColumn id="6" xr3:uid="{FD231201-2D2A-4EA8-B743-B3DC4CA55C9D}" name="Pakitimas_x000a_(Change)" totalsRowFunction="custom" dataDxfId="1289" totalsRowDxfId="1288">
      <calculatedColumnFormula>(E3-#REF!)/#REF!</calculatedColumnFormula>
      <totalsRowFormula>(D35-E35)/E35</totalsRowFormula>
    </tableColumn>
    <tableColumn id="7" xr3:uid="{1063D0E2-7511-4284-A713-12A53BC56BAD}" name="Žiūrovų sk. _x000a_(ADM)" totalsRowFunction="sum" dataDxfId="1287" totalsRowDxfId="1286"/>
    <tableColumn id="8" xr3:uid="{5266962E-BB6F-44F4-AE58-A9B36E1C495C}" name="Seansų sk. _x000a_(Show count)" dataDxfId="1285" totalsRowDxfId="1284"/>
    <tableColumn id="9" xr3:uid="{A9F74732-F715-4A7C-AF81-9DCD45CE620B}" name="Lankomumo vid._x000a_(Average ADM)" dataDxfId="1283" totalsRowDxfId="1282">
      <calculatedColumnFormula>G3/H3</calculatedColumnFormula>
    </tableColumn>
    <tableColumn id="10" xr3:uid="{72DCD46F-4C62-4551-979E-9A7A320FA5D6}" name="Kopijų sk. _x000a_(DCO count)" dataDxfId="1281" totalsRowDxfId="1280"/>
    <tableColumn id="11" xr3:uid="{DA450CF8-A242-41D3-931B-145AC8F24495}" name="Rodymo savaitė_x000a_(Week on screen)" dataDxfId="1279" totalsRowDxfId="1278"/>
    <tableColumn id="12" xr3:uid="{C5C8AF32-93DD-41FB-83AB-4955F36E8505}" name="Bendros pajamos _x000a_(Total GBO)" dataDxfId="1277" totalsRowDxfId="1276"/>
    <tableColumn id="13" xr3:uid="{C78E4A54-9D9D-4781-AA84-C4051676120B}" name="Bendras žiūrovų sk._x000a_(Total ADM)" dataDxfId="1275" totalsRowDxfId="1274"/>
    <tableColumn id="14" xr3:uid="{0EE49BAB-C0BF-43BB-A23B-D1C73FFB824F}" name="Premjeros data _x000a_(Release date)" dataDxfId="1273" totalsRowDxfId="1272"/>
    <tableColumn id="15" xr3:uid="{08A8BBDD-4C3D-4813-BC2D-D7DA9B4DEF69}" name="Platintojas _x000a_(Distributor)" dataDxfId="1271" totalsRowDxfId="1270"/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BFFC99C0-BC79-4C38-AABB-1AF42DD94ECD}" name="Table13245678910111213141516171819202122232425262728293031323334353637" displayName="Table13245678910111213141516171819202122232425262728293031323334353637" ref="A2:O35" totalsRowCount="1" headerRowDxfId="1269" dataDxfId="1267" totalsRowDxfId="1266" headerRowBorderDxfId="1268">
  <autoFilter ref="A2:O34" xr:uid="{4D0A8DD3-E526-414E-A150-7082106C7786}"/>
  <sortState xmlns:xlrd2="http://schemas.microsoft.com/office/spreadsheetml/2017/richdata2" ref="A3:O34">
    <sortCondition descending="1" ref="D2:D34"/>
  </sortState>
  <tableColumns count="15">
    <tableColumn id="1" xr3:uid="{76FDA685-81F3-4629-A976-E31EED586D41}" name=" " dataDxfId="1265" totalsRowDxfId="1264"/>
    <tableColumn id="2" xr3:uid="{A8680DC0-480E-4553-997F-695A140A0EDF}" name="Column1" totalsRowLabel=" " dataDxfId="1263" totalsRowDxfId="1262"/>
    <tableColumn id="3" xr3:uid="{11BBCA62-40F8-42B4-875E-5586CF9383EC}" name="Filmas _x000a_(Movie)" totalsRowLabel="Total (30)" dataDxfId="1261" totalsRowDxfId="1260"/>
    <tableColumn id="4" xr3:uid="{02BF530F-6C94-49CF-A88F-F2E5F5AEF06E}" name="Pajamos _x000a_(GBO)" totalsRowFunction="sum" dataDxfId="1259" totalsRowDxfId="1258"/>
    <tableColumn id="5" xr3:uid="{E6A1BEBB-5E81-4E40-9B56-A8CF1E912267}" name="Pajamos _x000a_praeita sav._x000a_(GBO LW)" totalsRowFunction="sum" dataDxfId="1257" totalsRowDxfId="1256"/>
    <tableColumn id="6" xr3:uid="{06B0B98F-A89F-467B-968F-3381E3F767AF}" name="Pakitimas_x000a_(Change)" totalsRowFunction="custom" dataDxfId="1255" totalsRowDxfId="1254">
      <calculatedColumnFormula>(D3-E3)/E3</calculatedColumnFormula>
      <totalsRowFormula>(D35-E35)/E35</totalsRowFormula>
    </tableColumn>
    <tableColumn id="7" xr3:uid="{8709626D-F3FA-4302-B7E7-5BDD7A151DC1}" name="Žiūrovų sk. _x000a_(ADM)" totalsRowFunction="sum" dataDxfId="1253" totalsRowDxfId="1252"/>
    <tableColumn id="8" xr3:uid="{55B18545-8400-40B8-9A3F-DB4AF26AD4B8}" name="Seansų sk. _x000a_(Show count)" dataDxfId="1251" totalsRowDxfId="1250"/>
    <tableColumn id="9" xr3:uid="{B8E39137-23C5-4B00-8DFD-B95E0492005A}" name="Lankomumo vid._x000a_(Average ADM)" dataDxfId="1249" totalsRowDxfId="1248">
      <calculatedColumnFormula>G3/H3</calculatedColumnFormula>
    </tableColumn>
    <tableColumn id="10" xr3:uid="{827D2C9E-9C8D-42A4-BAE9-FCA785C5D3EC}" name="Kopijų sk. _x000a_(DCO count)" dataDxfId="1247" totalsRowDxfId="1246"/>
    <tableColumn id="11" xr3:uid="{176B0A95-462A-41C8-81E7-781E2F9FE298}" name="Rodymo savaitė_x000a_(Week on screen)" dataDxfId="1245" totalsRowDxfId="1244"/>
    <tableColumn id="12" xr3:uid="{C5F27F53-EEEC-4403-A925-4A042E7E7D7D}" name="Bendros pajamos _x000a_(Total GBO)" dataDxfId="1243" totalsRowDxfId="1242"/>
    <tableColumn id="13" xr3:uid="{6F94FE0F-EDAB-4733-ACD6-F4CDFC86AFD1}" name="Bendras žiūrovų sk._x000a_(Total ADM)" dataDxfId="1241" totalsRowDxfId="1240"/>
    <tableColumn id="14" xr3:uid="{6AE99A04-5BBA-4BF3-9B30-6A3AA7205801}" name="Premjeros data _x000a_(Release date)" dataDxfId="1239" totalsRowDxfId="1238"/>
    <tableColumn id="15" xr3:uid="{23A57F46-94AE-4315-A4F2-E77426659080}" name="Platintojas _x000a_(Distributor)" dataDxfId="1237" totalsRowDxfId="1236"/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4D0A8DD3-E526-414E-A150-7082106C7786}" name="Table132456789101112131415161718192021222324252627282930313233343536" displayName="Table132456789101112131415161718192021222324252627282930313233343536" ref="A2:O40" totalsRowCount="1" headerRowDxfId="1235" dataDxfId="1233" totalsRowDxfId="1232" headerRowBorderDxfId="1234">
  <autoFilter ref="A2:O39" xr:uid="{4D0A8DD3-E526-414E-A150-7082106C7786}"/>
  <sortState xmlns:xlrd2="http://schemas.microsoft.com/office/spreadsheetml/2017/richdata2" ref="A3:O39">
    <sortCondition descending="1" ref="D2:D39"/>
  </sortState>
  <tableColumns count="15">
    <tableColumn id="1" xr3:uid="{6D30FF16-64B2-4D2A-B5FA-63CC564C1D6B}" name=" " dataDxfId="1231" totalsRowDxfId="1230"/>
    <tableColumn id="2" xr3:uid="{C09F4E5F-38EE-4CF0-BF59-C61C810933C0}" name="Column1" totalsRowLabel=" " dataDxfId="1229" totalsRowDxfId="1228"/>
    <tableColumn id="3" xr3:uid="{C6ED5ECB-C94B-4088-9165-6D02C7C2B6A7}" name="Filmas _x000a_(Movie)" totalsRowLabel="Total (37)" dataDxfId="1227" totalsRowDxfId="1226"/>
    <tableColumn id="4" xr3:uid="{D004183A-E021-478F-8E07-3ADE471E6052}" name="Pajamos _x000a_(GBO)" totalsRowFunction="sum" dataDxfId="1225" totalsRowDxfId="1224"/>
    <tableColumn id="5" xr3:uid="{51671224-AA7D-426B-A904-F406B4A763D6}" name="Pajamos _x000a_praeita sav._x000a_(GBO LW)" totalsRowFunction="sum" dataDxfId="1223" totalsRowDxfId="1222"/>
    <tableColumn id="6" xr3:uid="{03BD894E-D5EE-496A-B36B-81C03141FF50}" name="Pakitimas_x000a_(Change)" totalsRowFunction="custom" dataDxfId="1221" totalsRowDxfId="1220">
      <calculatedColumnFormula>(#REF!-#REF!)/#REF!</calculatedColumnFormula>
      <totalsRowFormula>(D40-E40)/E40</totalsRowFormula>
    </tableColumn>
    <tableColumn id="7" xr3:uid="{8CDAFB22-94AE-442B-A21A-4319190A4B11}" name="Žiūrovų sk. _x000a_(ADM)" totalsRowFunction="sum" dataDxfId="1219" totalsRowDxfId="1218"/>
    <tableColumn id="8" xr3:uid="{E9646931-6A78-4814-875C-712EF8BAE923}" name="Seansų sk. _x000a_(Show count)" dataDxfId="1217" totalsRowDxfId="1216"/>
    <tableColumn id="9" xr3:uid="{0EBB4AF4-A6C3-4DFC-8D8C-067E66A3C2BE}" name="Lankomumo vid._x000a_(Average ADM)" dataDxfId="1215" totalsRowDxfId="1214">
      <calculatedColumnFormula>G3/H3</calculatedColumnFormula>
    </tableColumn>
    <tableColumn id="10" xr3:uid="{0E589F00-1693-486E-A1A4-70FCAF672763}" name="Kopijų sk. _x000a_(DCO count)" dataDxfId="1213" totalsRowDxfId="1212"/>
    <tableColumn id="11" xr3:uid="{59D7E13E-F605-4734-928B-67D0F00DC0FC}" name="Rodymo savaitė_x000a_(Week on screen)" dataDxfId="1211" totalsRowDxfId="1210"/>
    <tableColumn id="12" xr3:uid="{0BF39E53-BF24-4151-AB72-4216F9818655}" name="Bendros pajamos _x000a_(Total GBO)" dataDxfId="1209" totalsRowDxfId="1208"/>
    <tableColumn id="13" xr3:uid="{245F7251-3FCC-4BEF-9DBD-57651548F9AB}" name="Bendras žiūrovų sk._x000a_(Total ADM)" dataDxfId="1207" totalsRowDxfId="1206"/>
    <tableColumn id="14" xr3:uid="{29DB5C48-ADC1-4636-B87B-5C51FCA34DC0}" name="Premjeros data _x000a_(Release date)" dataDxfId="1205" totalsRowDxfId="1204"/>
    <tableColumn id="15" xr3:uid="{2512B218-0EAE-4E34-8DF4-38B98E475054}" name="Platintojas _x000a_(Distributor)" dataDxfId="1203" totalsRowDxfId="1202"/>
  </tableColumns>
  <tableStyleInfo name="TableStyleLight1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139A6ED0-E7CE-46D9-A339-29682C84DCCC}" name="Table1324567891011121314151617181920212223242526272829303132333435" displayName="Table1324567891011121314151617181920212223242526272829303132333435" ref="A2:O36" totalsRowCount="1" headerRowDxfId="1201" dataDxfId="1199" totalsRowDxfId="1198" headerRowBorderDxfId="1200">
  <sortState xmlns:xlrd2="http://schemas.microsoft.com/office/spreadsheetml/2017/richdata2" ref="A3:O35">
    <sortCondition descending="1" ref="D3:D35"/>
  </sortState>
  <tableColumns count="15">
    <tableColumn id="1" xr3:uid="{279A6A4C-D1C8-411B-8EE3-B38909296332}" name=" " dataDxfId="1197" totalsRowDxfId="1196"/>
    <tableColumn id="2" xr3:uid="{7CEA5CA3-B92F-4157-9FF9-3327BEB09336}" name="Column1" totalsRowLabel=" " dataDxfId="1195" totalsRowDxfId="1194"/>
    <tableColumn id="3" xr3:uid="{84F108E2-43A2-4EEA-9EC2-985D7A599541}" name="Filmas _x000a_(Movie)" totalsRowLabel="Total (33)" dataDxfId="1193" totalsRowDxfId="1192"/>
    <tableColumn id="4" xr3:uid="{464FCE49-CDE9-4D5B-B18F-95419BD11216}" name="Pajamos _x000a_(GBO)" totalsRowFunction="sum" dataDxfId="1191" totalsRowDxfId="1190"/>
    <tableColumn id="5" xr3:uid="{186868D9-6777-4D74-A278-184042866ED7}" name="Pajamos _x000a_praeita sav._x000a_(GBO LW)" totalsRowFunction="sum" dataDxfId="1189" totalsRowDxfId="1188"/>
    <tableColumn id="6" xr3:uid="{5B14C0E7-9616-4DCD-9FF4-B8604A54CC01}" name="Pakitimas_x000a_(Change)" totalsRowFunction="custom" dataDxfId="1187" totalsRowDxfId="1186">
      <calculatedColumnFormula>(#REF!-#REF!)/#REF!</calculatedColumnFormula>
      <totalsRowFormula>(D36-E36)/E36</totalsRowFormula>
    </tableColumn>
    <tableColumn id="7" xr3:uid="{0CC5383E-1413-40C4-97D0-0805C95A3BE3}" name="Žiūrovų sk. _x000a_(ADM)" totalsRowFunction="sum" dataDxfId="1185" totalsRowDxfId="1184"/>
    <tableColumn id="8" xr3:uid="{6B35E5DB-29F0-45C2-8005-9F9DBB90BBD2}" name="Seansų sk. _x000a_(Show count)" dataDxfId="1183" totalsRowDxfId="1182"/>
    <tableColumn id="9" xr3:uid="{7FAA76C7-8C45-4863-8C1A-7770B0747A72}" name="Lankomumo vid._x000a_(Average ADM)" dataDxfId="1181" totalsRowDxfId="1180">
      <calculatedColumnFormula>G3/H3</calculatedColumnFormula>
    </tableColumn>
    <tableColumn id="10" xr3:uid="{BCCB62A3-31D8-4C91-A2C9-4473CB68F7B7}" name="Kopijų sk. _x000a_(DCO count)" dataDxfId="1179" totalsRowDxfId="1178"/>
    <tableColumn id="11" xr3:uid="{D6F7A288-ACF5-4144-A79E-AB5B223C1670}" name="Rodymo savaitė_x000a_(Week on screen)" dataDxfId="1177" totalsRowDxfId="1176"/>
    <tableColumn id="12" xr3:uid="{7CA01996-2BB5-459C-A362-6BF2867C85DF}" name="Bendros pajamos _x000a_(Total GBO)" dataDxfId="1175" totalsRowDxfId="1174"/>
    <tableColumn id="13" xr3:uid="{47CFEC7A-BC9F-455C-AD15-9124D0C5BF81}" name="Bendras žiūrovų sk._x000a_(Total ADM)" dataDxfId="1173" totalsRowDxfId="1172"/>
    <tableColumn id="14" xr3:uid="{45E7B827-C381-4DCA-BB50-1A01F3F36874}" name="Premjeros data _x000a_(Release date)" dataDxfId="1171" totalsRowDxfId="1170"/>
    <tableColumn id="15" xr3:uid="{AF1D0568-BF95-418B-938B-A2EEB4FBCC40}" name="Platintojas _x000a_(Distributor)" dataDxfId="1169" totalsRowDxfId="1168"/>
  </tableColumns>
  <tableStyleInfo name="TableStyleLight1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583CFA34-1F75-4B14-AC5B-3ED51D4BBD79}" name="Table13245678910111213141516171819202122232425262728293031323334" displayName="Table13245678910111213141516171819202122232425262728293031323334" ref="A2:O32" totalsRowCount="1" headerRowDxfId="1167" dataDxfId="1165" totalsRowDxfId="1164" headerRowBorderDxfId="1166">
  <tableColumns count="15">
    <tableColumn id="1" xr3:uid="{43165C10-279F-4695-AC90-CEBD07E97A48}" name=" " dataDxfId="1163" totalsRowDxfId="1162"/>
    <tableColumn id="2" xr3:uid="{58D99C62-CE1D-4EEE-88B6-778D932585F0}" name="Column1" totalsRowLabel=" " dataDxfId="1161" totalsRowDxfId="1160"/>
    <tableColumn id="3" xr3:uid="{3F011ACE-5A47-4417-B1A6-38413A99B4C6}" name="Filmas _x000a_(Movie)" totalsRowLabel="Total (29)" dataDxfId="1159" totalsRowDxfId="1158"/>
    <tableColumn id="4" xr3:uid="{287C3FE1-C9E3-45E3-9CE7-CF95942F5A09}" name="Pajamos _x000a_(GBO)" totalsRowFunction="sum" dataDxfId="1157" totalsRowDxfId="1156"/>
    <tableColumn id="5" xr3:uid="{ABCBC6F8-7AED-4511-AA0D-7F6285D1111C}" name="Pajamos _x000a_praeita sav._x000a_(GBO LW)" totalsRowFunction="sum" dataDxfId="1155" totalsRowDxfId="1154"/>
    <tableColumn id="6" xr3:uid="{2DFB490D-279F-4CC2-8451-3CAAEC5E1DAA}" name="Pakitimas_x000a_(Change)" totalsRowFunction="custom" dataDxfId="1153" totalsRowDxfId="1152">
      <calculatedColumnFormula>(#REF!-#REF!)/#REF!</calculatedColumnFormula>
      <totalsRowFormula>(D32-E32)/E32</totalsRowFormula>
    </tableColumn>
    <tableColumn id="7" xr3:uid="{BA30589A-4636-42C9-B701-F69E4FA0F0AE}" name="Žiūrovų sk. _x000a_(ADM)" totalsRowFunction="sum" dataDxfId="1151" totalsRowDxfId="1150"/>
    <tableColumn id="8" xr3:uid="{655F9D76-67C6-46F5-826A-069D899F079E}" name="Seansų sk. _x000a_(Show count)" dataDxfId="1149" totalsRowDxfId="1148"/>
    <tableColumn id="9" xr3:uid="{9B2C002D-8A02-435B-B22F-199FA36F80BE}" name="Lankomumo vid._x000a_(Average ADM)" dataDxfId="1147" totalsRowDxfId="1146">
      <calculatedColumnFormula>G3/H3</calculatedColumnFormula>
    </tableColumn>
    <tableColumn id="10" xr3:uid="{722CDF14-B44A-4D99-9FA4-6C8495DD0DF1}" name="Kopijų sk. _x000a_(DCO count)" dataDxfId="1145" totalsRowDxfId="1144"/>
    <tableColumn id="11" xr3:uid="{386E3CB8-1279-4BAF-97A2-AD3995A58CDC}" name="Rodymo savaitė_x000a_(Week on screen)" dataDxfId="1143" totalsRowDxfId="1142"/>
    <tableColumn id="12" xr3:uid="{139ACC1F-7184-4C58-BBE8-D37569706709}" name="Bendros pajamos _x000a_(Total GBO)" dataDxfId="1141" totalsRowDxfId="1140"/>
    <tableColumn id="13" xr3:uid="{6304BF7E-4D68-4B57-BB0D-35B9DA7CFAAD}" name="Bendras žiūrovų sk._x000a_(Total ADM)" dataDxfId="1139" totalsRowDxfId="1138"/>
    <tableColumn id="14" xr3:uid="{AFCD8FB6-CB60-4599-84DB-232CDB0CB17C}" name="Premjeros data _x000a_(Release date)" dataDxfId="1137" totalsRowDxfId="1136"/>
    <tableColumn id="15" xr3:uid="{0D6100E7-8834-4B1E-9E08-EC0283E22AB0}" name="Platintojas _x000a_(Distributor)" dataDxfId="1135" totalsRowDxfId="1134"/>
  </tableColumns>
  <tableStyleInfo name="TableStyleLight1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B453E86E-442F-4B06-8359-3A4CEC0017C8}" name="Table132456789101112131415161718192021222324252627282930313233" displayName="Table132456789101112131415161718192021222324252627282930313233" ref="A2:O32" totalsRowCount="1" headerRowDxfId="1133" dataDxfId="1131" totalsRowDxfId="1130" headerRowBorderDxfId="1132">
  <sortState xmlns:xlrd2="http://schemas.microsoft.com/office/spreadsheetml/2017/richdata2" ref="A3:O31">
    <sortCondition descending="1" ref="D31"/>
  </sortState>
  <tableColumns count="15">
    <tableColumn id="1" xr3:uid="{E2B47280-6B8B-4AC9-B74C-5F6644617FAC}" name=" " dataDxfId="1129" totalsRowDxfId="1128"/>
    <tableColumn id="2" xr3:uid="{B1F76D28-9144-4832-8940-6EE0B0950216}" name="Column1" totalsRowLabel=" " dataDxfId="1127" totalsRowDxfId="1126"/>
    <tableColumn id="3" xr3:uid="{04162595-AED3-4E6F-A7A1-4C146878B260}" name="Filmas _x000a_(Movie)" totalsRowLabel="Total (29)" dataDxfId="1125" totalsRowDxfId="1124"/>
    <tableColumn id="4" xr3:uid="{CDA84281-6DA2-465E-BA85-1B3BD622368D}" name="Pajamos _x000a_(GBO)" totalsRowFunction="sum" dataDxfId="1123" totalsRowDxfId="1122"/>
    <tableColumn id="5" xr3:uid="{144E4BF1-D05E-45AF-87D5-9B7B5BE4009C}" name="Pajamos _x000a_praeita sav._x000a_(GBO LW)" totalsRowFunction="sum" dataDxfId="1121" totalsRowDxfId="1120"/>
    <tableColumn id="6" xr3:uid="{CBD5BB17-9875-4FDF-AA3B-F8360F69B666}" name="Pakitimas_x000a_(Change)" totalsRowFunction="custom" dataDxfId="1119" totalsRowDxfId="1118">
      <calculatedColumnFormula>(E3-#REF!)/#REF!</calculatedColumnFormula>
      <totalsRowFormula>(D32-E32)/E32</totalsRowFormula>
    </tableColumn>
    <tableColumn id="7" xr3:uid="{1683011C-2C89-472A-98A0-34A4CE2CE214}" name="Žiūrovų sk. _x000a_(ADM)" totalsRowFunction="sum" dataDxfId="1117" totalsRowDxfId="1116"/>
    <tableColumn id="8" xr3:uid="{9B021220-1B13-4F41-8253-962A14B2AFC5}" name="Seansų sk. _x000a_(Show count)" dataDxfId="1115" totalsRowDxfId="1114"/>
    <tableColumn id="9" xr3:uid="{77514005-8219-42C8-9D09-AC4E5EED3A61}" name="Lankomumo vid._x000a_(Average ADM)" dataDxfId="1113" totalsRowDxfId="1112">
      <calculatedColumnFormula>G3/H3</calculatedColumnFormula>
    </tableColumn>
    <tableColumn id="10" xr3:uid="{F42127F0-D933-4395-AE0D-19A639269B73}" name="Kopijų sk. _x000a_(DCO count)" dataDxfId="1111" totalsRowDxfId="1110"/>
    <tableColumn id="11" xr3:uid="{843BB20A-EFEF-4961-9094-BB9DF4A5681A}" name="Rodymo savaitė_x000a_(Week on screen)" dataDxfId="1109" totalsRowDxfId="1108"/>
    <tableColumn id="12" xr3:uid="{2CA2CA31-2637-43FA-87C5-61630B25E0F2}" name="Bendros pajamos _x000a_(Total GBO)" dataDxfId="1107" totalsRowDxfId="1106"/>
    <tableColumn id="13" xr3:uid="{28A90CFF-FF8D-488C-A921-5933DF0CF4A7}" name="Bendras žiūrovų sk._x000a_(Total ADM)" dataDxfId="1105" totalsRowDxfId="1104"/>
    <tableColumn id="14" xr3:uid="{929EC99E-CEC9-45A8-BEE1-F1288D1B8194}" name="Premjeros data _x000a_(Release date)" dataDxfId="1103" totalsRowDxfId="1102"/>
    <tableColumn id="15" xr3:uid="{115989A7-5A87-417A-8E35-5CD3D7556BE0}" name="Platintojas _x000a_(Distributor)" dataDxfId="1101" totalsRowDxfId="1100"/>
  </tableColumns>
  <tableStyleInfo name="TableStyleLight1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5AD61B4D-0D45-464A-A686-C4DB78CE86D6}" name="Table1324567891011121314151617181920212223242526272829303132" displayName="Table1324567891011121314151617181920212223242526272829303132" ref="A2:O36" totalsRowCount="1" headerRowDxfId="1099" dataDxfId="1097" totalsRowDxfId="1096" headerRowBorderDxfId="1098">
  <sortState xmlns:xlrd2="http://schemas.microsoft.com/office/spreadsheetml/2017/richdata2" ref="A3:O35">
    <sortCondition descending="1" ref="D3:D35"/>
  </sortState>
  <tableColumns count="15">
    <tableColumn id="1" xr3:uid="{D55FB0FF-FF62-48A8-9764-C90F9F55353E}" name=" " dataDxfId="1095" totalsRowDxfId="1094"/>
    <tableColumn id="2" xr3:uid="{D2FA1955-9CF9-4B7C-A709-AD6B6922882A}" name="Column1" totalsRowLabel=" " dataDxfId="1093" totalsRowDxfId="1092"/>
    <tableColumn id="3" xr3:uid="{5FEE49F5-AB2E-4775-93A2-FC1427F3ABA9}" name="Filmas _x000a_(Movie)" totalsRowLabel="Total (33)" dataDxfId="1091" totalsRowDxfId="1090"/>
    <tableColumn id="4" xr3:uid="{40A9B8F1-C075-4CE0-8468-1D08F7750915}" name="Pajamos _x000a_(GBO)" totalsRowFunction="sum" dataDxfId="1089" totalsRowDxfId="1088"/>
    <tableColumn id="5" xr3:uid="{3039E857-DAC5-4144-B8A0-90C9DA4C0C04}" name="Pajamos _x000a_praeita sav._x000a_(GBO LW)" totalsRowFunction="sum" dataDxfId="1087" totalsRowDxfId="1086"/>
    <tableColumn id="6" xr3:uid="{A04F6058-3C56-4D1E-933D-18DE0AFE5AE7}" name="Pakitimas_x000a_(Change)" totalsRowFunction="custom" dataDxfId="1085" totalsRowDxfId="1084">
      <calculatedColumnFormula>(D3-E3)/E3</calculatedColumnFormula>
      <totalsRowFormula>(D36-E36)/E36</totalsRowFormula>
    </tableColumn>
    <tableColumn id="7" xr3:uid="{BC8991E4-7813-4752-AE32-92BE05B91F4F}" name="Žiūrovų sk. _x000a_(ADM)" totalsRowFunction="sum" dataDxfId="1083" totalsRowDxfId="1082"/>
    <tableColumn id="8" xr3:uid="{1BB1D673-35F4-41F5-8335-A0C342672AFB}" name="Seansų sk. _x000a_(Show count)" dataDxfId="1081" totalsRowDxfId="1080"/>
    <tableColumn id="9" xr3:uid="{68BB754C-1AF5-4451-89B5-FADC3DB0B7EE}" name="Lankomumo vid._x000a_(Average ADM)" dataDxfId="1079" totalsRowDxfId="1078">
      <calculatedColumnFormula>G3/H3</calculatedColumnFormula>
    </tableColumn>
    <tableColumn id="10" xr3:uid="{71E2C900-6267-4EB8-9FBE-BF1819D81277}" name="Kopijų sk. _x000a_(DCO count)" dataDxfId="1077" totalsRowDxfId="1076"/>
    <tableColumn id="11" xr3:uid="{9FCC405E-B15A-4156-AEB4-345254F80EAA}" name="Rodymo savaitė_x000a_(Week on screen)" dataDxfId="1075" totalsRowDxfId="1074"/>
    <tableColumn id="12" xr3:uid="{FA1E8B45-DB61-4989-BDB8-E205715678F6}" name="Bendros pajamos _x000a_(Total GBO)" dataDxfId="1073" totalsRowDxfId="1072"/>
    <tableColumn id="13" xr3:uid="{7C37029C-5577-4FD1-90CD-D6F3A0DEFBE5}" name="Bendras žiūrovų sk._x000a_(Total ADM)" dataDxfId="1071" totalsRowDxfId="1070"/>
    <tableColumn id="14" xr3:uid="{C8AFD62E-5479-4074-8356-0002E8FB2BCE}" name="Premjeros data _x000a_(Release date)" dataDxfId="1069" totalsRowDxfId="1068"/>
    <tableColumn id="15" xr3:uid="{712706C3-FDA8-4C73-BB18-7096EDFFF691}" name="Platintojas _x000a_(Distributor)" dataDxfId="1067" totalsRowDxfId="1066"/>
  </tableColumns>
  <tableStyleInfo name="TableStyleLight1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6041710A-104E-41C0-AE34-442E2401EF89}" name="Table13245678910111213141516171819202122232425262728293031" displayName="Table13245678910111213141516171819202122232425262728293031" ref="A2:O31" totalsRowCount="1" headerRowDxfId="1065" dataDxfId="1063" totalsRowDxfId="1062" headerRowBorderDxfId="1064">
  <sortState xmlns:xlrd2="http://schemas.microsoft.com/office/spreadsheetml/2017/richdata2" ref="A3:O30">
    <sortCondition descending="1" ref="D3:D30"/>
  </sortState>
  <tableColumns count="15">
    <tableColumn id="1" xr3:uid="{A69B5DEA-2650-4B08-83F6-C7F368182416}" name=" " dataDxfId="1061" totalsRowDxfId="1060"/>
    <tableColumn id="2" xr3:uid="{2CF84F8C-5F4B-41DE-B4E1-7425B6330048}" name="Column1" totalsRowLabel=" " dataDxfId="1059" totalsRowDxfId="1058"/>
    <tableColumn id="3" xr3:uid="{C16EB23C-DFBA-4D52-836D-086F987B4137}" name="Filmas _x000a_(Movie)" totalsRowLabel="Total (28)" dataDxfId="1057" totalsRowDxfId="1056"/>
    <tableColumn id="4" xr3:uid="{3ED1971F-9A15-4E35-9F6F-051CE59A9382}" name="Pajamos _x000a_(GBO)" totalsRowFunction="sum" dataDxfId="1055" totalsRowDxfId="1054"/>
    <tableColumn id="5" xr3:uid="{E4B8588A-4C01-4085-8E49-E8A7C9ED2C2E}" name="Pajamos _x000a_praeita sav._x000a_(GBO LW)" totalsRowFunction="sum" dataDxfId="1053" totalsRowDxfId="1052"/>
    <tableColumn id="6" xr3:uid="{626C3478-972E-4278-88B6-FA80F59265B9}" name="Pakitimas_x000a_(Change)" totalsRowFunction="custom" dataDxfId="1051" totalsRowDxfId="1050">
      <calculatedColumnFormula>(D3-E3)/E3</calculatedColumnFormula>
      <totalsRowFormula>(D31-E31)/E31</totalsRowFormula>
    </tableColumn>
    <tableColumn id="7" xr3:uid="{33C0F3BA-C891-42B0-AED8-675365F5AE0F}" name="Žiūrovų sk. _x000a_(ADM)" totalsRowFunction="sum" dataDxfId="1049" totalsRowDxfId="1048"/>
    <tableColumn id="8" xr3:uid="{78A6D856-AA23-4B04-B161-D57C04C5E9F4}" name="Seansų sk. _x000a_(Show count)" dataDxfId="1047" totalsRowDxfId="1046"/>
    <tableColumn id="9" xr3:uid="{34BF21AB-DA47-4754-9FE4-FE46EE81FC31}" name="Lankomumo vid._x000a_(Average ADM)" dataDxfId="1045" totalsRowDxfId="1044">
      <calculatedColumnFormula>G3/H3</calculatedColumnFormula>
    </tableColumn>
    <tableColumn id="10" xr3:uid="{70A5F82F-C371-4590-8C78-88C6E9A6BED1}" name="Kopijų sk. _x000a_(DCO count)" dataDxfId="1043" totalsRowDxfId="1042"/>
    <tableColumn id="11" xr3:uid="{7543CF92-D3ED-4BAF-A7E2-2864EBBFD25A}" name="Rodymo savaitė_x000a_(Week on screen)" dataDxfId="1041" totalsRowDxfId="1040"/>
    <tableColumn id="12" xr3:uid="{1C4CBDD5-2945-4A11-B0C4-EB7553269EE8}" name="Bendros pajamos _x000a_(Total GBO)" dataDxfId="1039" totalsRowDxfId="1038"/>
    <tableColumn id="13" xr3:uid="{7E58EE85-8B14-49CE-92E8-F74AD83A7FC5}" name="Bendras žiūrovų sk._x000a_(Total ADM)" dataDxfId="1037" totalsRowDxfId="1036"/>
    <tableColumn id="14" xr3:uid="{75B9AF18-2BFF-4E3A-B13F-B8748D25FAED}" name="Premjeros data _x000a_(Release date)" dataDxfId="1035" totalsRowDxfId="1034"/>
    <tableColumn id="15" xr3:uid="{476EEB0D-E9AA-4295-9E86-38B541B59AB8}" name="Platintojas _x000a_(Distributor)" dataDxfId="1033" totalsRowDxfId="1032"/>
  </tableColumns>
  <tableStyleInfo name="TableStyleLight1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195ECCA-F9D0-40F8-971F-7C86714FF72E}" name="Table132456789101112131415161718192021222324252627282930" displayName="Table132456789101112131415161718192021222324252627282930" ref="A2:O34" totalsRowCount="1" headerRowDxfId="1031" dataDxfId="1029" totalsRowDxfId="1028" headerRowBorderDxfId="1030">
  <sortState xmlns:xlrd2="http://schemas.microsoft.com/office/spreadsheetml/2017/richdata2" ref="A3:O33">
    <sortCondition descending="1" ref="D3:D33"/>
  </sortState>
  <tableColumns count="15">
    <tableColumn id="1" xr3:uid="{55550056-AAA9-4DC2-8590-19F18A7790BA}" name=" " dataDxfId="1027" totalsRowDxfId="1026"/>
    <tableColumn id="2" xr3:uid="{BBDDEF3C-C047-4368-8A6F-52350319AF95}" name="Column1" totalsRowLabel=" " dataDxfId="1025" totalsRowDxfId="1024"/>
    <tableColumn id="3" xr3:uid="{7FD678B5-7CB9-4E04-88A7-FF9214E61E4C}" name="Filmas _x000a_(Movie)" totalsRowLabel="Total (30)" dataDxfId="1023" totalsRowDxfId="1022"/>
    <tableColumn id="4" xr3:uid="{BB4193BD-290C-4BA2-B742-ABFB524F8E9B}" name="Pajamos _x000a_(GBO)" totalsRowFunction="sum" dataDxfId="1021" totalsRowDxfId="1020"/>
    <tableColumn id="5" xr3:uid="{0FD282AC-A822-4347-90C0-B165A194A1B8}" name="Pajamos _x000a_praeita sav._x000a_(GBO LW)" totalsRowFunction="sum" dataDxfId="1019" totalsRowDxfId="1018"/>
    <tableColumn id="6" xr3:uid="{25FEE3CA-95B9-4F9D-B22F-FE1D7E83BC12}" name="Pakitimas_x000a_(Change)" totalsRowFunction="custom" dataDxfId="1017" totalsRowDxfId="1016">
      <calculatedColumnFormula>(D3-E3)/E3</calculatedColumnFormula>
      <totalsRowFormula>(D34-E34)/E34</totalsRowFormula>
    </tableColumn>
    <tableColumn id="7" xr3:uid="{32891FB1-9C78-416A-8172-62296A9B9EA3}" name="Žiūrovų sk. _x000a_(ADM)" totalsRowFunction="sum" dataDxfId="1015" totalsRowDxfId="1014"/>
    <tableColumn id="8" xr3:uid="{DA6FF849-5F63-41D8-8B08-3706D13D65F9}" name="Seansų sk. _x000a_(Show count)" dataDxfId="1013" totalsRowDxfId="1012"/>
    <tableColumn id="9" xr3:uid="{936CFB63-D425-4282-9BA9-DAB5294B4FC4}" name="Lankomumo vid._x000a_(Average ADM)" dataDxfId="1011" totalsRowDxfId="1010">
      <calculatedColumnFormula>G3/H3</calculatedColumnFormula>
    </tableColumn>
    <tableColumn id="10" xr3:uid="{9D3068AC-2207-4D6B-B679-C945EA0DFF42}" name="Kopijų sk. _x000a_(DCO count)" dataDxfId="1009" totalsRowDxfId="1008"/>
    <tableColumn id="11" xr3:uid="{EA9830EC-CC37-491A-8B70-7EB2E12FCE0C}" name="Rodymo savaitė_x000a_(Week on screen)" dataDxfId="1007" totalsRowDxfId="1006"/>
    <tableColumn id="12" xr3:uid="{8566C239-2AE5-43E1-AEE1-9674777F1BCF}" name="Bendros pajamos _x000a_(Total GBO)" dataDxfId="1005" totalsRowDxfId="1004"/>
    <tableColumn id="13" xr3:uid="{FCA27453-455D-4832-94E9-FB199E3BE14D}" name="Bendras žiūrovų sk._x000a_(Total ADM)" dataDxfId="1003" totalsRowDxfId="1002"/>
    <tableColumn id="14" xr3:uid="{4BEC1230-7706-41DE-8138-03656293C57B}" name="Premjeros data _x000a_(Release date)" dataDxfId="1001" totalsRowDxfId="1000"/>
    <tableColumn id="15" xr3:uid="{252C8D40-9465-4E46-BB99-EA2780CC3771}" name="Platintojas _x000a_(Distributor)" dataDxfId="999" totalsRowDxfId="998"/>
  </tableColumns>
  <tableStyleInfo name="TableStyleLight1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D14CA455-8B50-4382-9CD3-439A0C3A01F0}" name="Table1324567891011121314151617181920212223242526272829" displayName="Table1324567891011121314151617181920212223242526272829" ref="A2:O36" totalsRowCount="1" headerRowDxfId="997" dataDxfId="995" totalsRowDxfId="994" headerRowBorderDxfId="996">
  <sortState xmlns:xlrd2="http://schemas.microsoft.com/office/spreadsheetml/2017/richdata2" ref="A3:O35">
    <sortCondition descending="1" ref="D3:D35"/>
  </sortState>
  <tableColumns count="15">
    <tableColumn id="1" xr3:uid="{BEBC8517-278D-4742-9CCB-A3973948972C}" name=" " dataDxfId="993" totalsRowDxfId="992"/>
    <tableColumn id="2" xr3:uid="{EBA55A18-B4C1-48C4-A30F-6083209D794A}" name="Column1" totalsRowLabel=" " dataDxfId="991" totalsRowDxfId="990"/>
    <tableColumn id="3" xr3:uid="{1805126A-CBF5-4AD8-842A-4818AE674B91}" name="Filmas _x000a_(Movie)" totalsRowLabel="Total (31)" dataDxfId="989" totalsRowDxfId="988"/>
    <tableColumn id="4" xr3:uid="{52D977AB-3304-435F-AEF5-D87711902856}" name="Pajamos _x000a_(GBO)" totalsRowFunction="sum" dataDxfId="987" totalsRowDxfId="986"/>
    <tableColumn id="5" xr3:uid="{96386032-ED37-4A1B-9F11-318DAACAAE30}" name="Pajamos _x000a_praeita sav._x000a_(GBO LW)" totalsRowFunction="sum" dataDxfId="985" totalsRowDxfId="984"/>
    <tableColumn id="6" xr3:uid="{4F17944C-E5A2-4876-8B7D-74547CDCEDDF}" name="Pakitimas_x000a_(Change)" totalsRowFunction="custom" dataDxfId="983" totalsRowDxfId="982">
      <calculatedColumnFormula>(E3-#REF!)/#REF!</calculatedColumnFormula>
      <totalsRowFormula>(D36-E36)/E36</totalsRowFormula>
    </tableColumn>
    <tableColumn id="7" xr3:uid="{8AAAB91F-DC1C-47C7-8CC4-A69E32D4B917}" name="Žiūrovų sk. _x000a_(ADM)" totalsRowFunction="sum" dataDxfId="981" totalsRowDxfId="980"/>
    <tableColumn id="8" xr3:uid="{979373D9-67EE-4B29-83B9-42BEF6CD6671}" name="Seansų sk. _x000a_(Show count)" dataDxfId="979" totalsRowDxfId="978"/>
    <tableColumn id="9" xr3:uid="{C833A6C5-20F8-4A32-9DBA-09891D48B14A}" name="Lankomumo vid._x000a_(Average ADM)" dataDxfId="977" totalsRowDxfId="976">
      <calculatedColumnFormula>G3/H3</calculatedColumnFormula>
    </tableColumn>
    <tableColumn id="10" xr3:uid="{088192A2-933B-4B61-9860-B8E9D9F7500F}" name="Kopijų sk. _x000a_(DCO count)" dataDxfId="975" totalsRowDxfId="974"/>
    <tableColumn id="11" xr3:uid="{8CB015D8-CAA2-4609-B839-F8C4D3992353}" name="Rodymo savaitė_x000a_(Week on screen)" dataDxfId="973" totalsRowDxfId="972"/>
    <tableColumn id="12" xr3:uid="{65C50307-EDF2-4848-AF3A-F5349A1F2419}" name="Bendros pajamos _x000a_(Total GBO)" dataDxfId="971" totalsRowDxfId="970"/>
    <tableColumn id="13" xr3:uid="{676E8D3F-CCE3-47E3-980D-E86D719F8910}" name="Bendras žiūrovų sk._x000a_(Total ADM)" dataDxfId="969" totalsRowDxfId="968"/>
    <tableColumn id="14" xr3:uid="{D83D5970-3B7A-4B91-8BA8-E2F25D491CD2}" name="Premjeros data _x000a_(Release date)" dataDxfId="967" totalsRowDxfId="966"/>
    <tableColumn id="15" xr3:uid="{4E7878FE-7652-4DA4-BC67-B180CA35D160}" name="Platintojas _x000a_(Distributor)" dataDxfId="965" totalsRowDxfId="964"/>
  </tableColumns>
  <tableStyleInfo name="TableStyleLight18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5F56B81-949C-4BC8-A4EF-9FFEE614FAA6}" name="Table13245678910111213141516171819202122232425262728" displayName="Table13245678910111213141516171819202122232425262728" ref="A2:O32" totalsRowCount="1" headerRowDxfId="963" dataDxfId="961" totalsRowDxfId="960" headerRowBorderDxfId="962">
  <sortState xmlns:xlrd2="http://schemas.microsoft.com/office/spreadsheetml/2017/richdata2" ref="A3:O31">
    <sortCondition descending="1" ref="D31"/>
  </sortState>
  <tableColumns count="15">
    <tableColumn id="1" xr3:uid="{3558EA90-AD9B-4155-A4B1-29B440D93EEC}" name=" " dataDxfId="959" totalsRowDxfId="958"/>
    <tableColumn id="2" xr3:uid="{8D574CE3-8979-4D5D-9270-16C73F21703D}" name="Column1" totalsRowLabel=" " dataDxfId="957" totalsRowDxfId="956"/>
    <tableColumn id="3" xr3:uid="{743B1575-7E63-46A2-9294-C3CB13A03094}" name="Filmas _x000a_(Movie)" totalsRowLabel="Total (28)" dataDxfId="955" totalsRowDxfId="954"/>
    <tableColumn id="4" xr3:uid="{88775C84-197B-4565-BAD3-FC0D3720139F}" name="Pajamos _x000a_(GBO)" totalsRowFunction="sum" dataDxfId="953" totalsRowDxfId="952"/>
    <tableColumn id="5" xr3:uid="{11FAFD8F-8ABD-42AD-9DF7-0041648596BF}" name="Pajamos _x000a_praeita sav._x000a_(GBO LW)" totalsRowFunction="sum" dataDxfId="951" totalsRowDxfId="950"/>
    <tableColumn id="6" xr3:uid="{4BBF44CE-BE10-4568-9EE2-4E5E2FBE4933}" name="Pakitimas_x000a_(Change)" totalsRowFunction="custom" dataDxfId="949" totalsRowDxfId="948">
      <calculatedColumnFormula>(D3-E3)/E3</calculatedColumnFormula>
      <totalsRowFormula>(D32-E32)/E32</totalsRowFormula>
    </tableColumn>
    <tableColumn id="7" xr3:uid="{CF885F6F-618D-4B44-AB4B-5A10B2C5F25C}" name="Žiūrovų sk. _x000a_(ADM)" totalsRowFunction="sum" dataDxfId="947" totalsRowDxfId="946"/>
    <tableColumn id="8" xr3:uid="{59503AA7-38BC-4753-B8B6-3E308B84CB52}" name="Seansų sk. _x000a_(Show count)" dataDxfId="945" totalsRowDxfId="944"/>
    <tableColumn id="9" xr3:uid="{C8D1130F-BAEB-4E10-939B-006C49D59E4A}" name="Lankomumo vid._x000a_(Average ADM)" dataDxfId="943" totalsRowDxfId="942">
      <calculatedColumnFormula>G3/H3</calculatedColumnFormula>
    </tableColumn>
    <tableColumn id="10" xr3:uid="{BE251A60-285F-467B-AAEA-55A1766558F0}" name="Kopijų sk. _x000a_(DCO count)" dataDxfId="941" totalsRowDxfId="940"/>
    <tableColumn id="11" xr3:uid="{A42695D5-31DA-44C4-824F-B172F1832444}" name="Rodymo savaitė_x000a_(Week on screen)" dataDxfId="939" totalsRowDxfId="938"/>
    <tableColumn id="12" xr3:uid="{5E7C6890-A9C5-49FA-A40D-C7BCD31F9A31}" name="Bendros pajamos _x000a_(Total GBO)" dataDxfId="937" totalsRowDxfId="936"/>
    <tableColumn id="13" xr3:uid="{E4D18B6D-D29D-4745-BCCA-869CA9A40BE7}" name="Bendras žiūrovų sk._x000a_(Total ADM)" dataDxfId="935" totalsRowDxfId="934"/>
    <tableColumn id="14" xr3:uid="{9574778A-1A90-4423-ADDD-2A41D35E9743}" name="Premjeros data _x000a_(Release date)" dataDxfId="933" totalsRowDxfId="932"/>
    <tableColumn id="15" xr3:uid="{A192177F-3C9D-49ED-8AED-E16D95B1EB89}" name="Platintojas _x000a_(Distributor)" dataDxfId="931" totalsRowDxfId="930"/>
  </tableColumns>
  <tableStyleInfo name="TableStyleLight18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B9D7C1F2-97D5-4AB7-AEEB-93B1AA3C8CBF}" name="Table132456789101112131415161718192021222324252627" displayName="Table132456789101112131415161718192021222324252627" ref="A2:O39" totalsRowCount="1" headerRowDxfId="929" dataDxfId="927" totalsRowDxfId="926" headerRowBorderDxfId="928">
  <sortState xmlns:xlrd2="http://schemas.microsoft.com/office/spreadsheetml/2017/richdata2" ref="A3:O38">
    <sortCondition descending="1" ref="D3:D38"/>
  </sortState>
  <tableColumns count="15">
    <tableColumn id="1" xr3:uid="{EA3B52FC-696B-4845-9777-2CBA98D8C90C}" name=" " dataDxfId="925" totalsRowDxfId="924"/>
    <tableColumn id="2" xr3:uid="{7E2A12DF-2C9B-4F7D-9096-3F8DA49AA75D}" name="Column1" totalsRowLabel=" " dataDxfId="923" totalsRowDxfId="922"/>
    <tableColumn id="3" xr3:uid="{83F75AD1-0806-4A0A-9B68-3E912717FF35}" name="Filmas _x000a_(Movie)" totalsRowLabel="Total (36)" dataDxfId="921" totalsRowDxfId="920"/>
    <tableColumn id="4" xr3:uid="{C00629AD-B771-413A-8F98-C1247B1A8EC9}" name="Pajamos _x000a_(GBO)" totalsRowFunction="sum" dataDxfId="919" totalsRowDxfId="918"/>
    <tableColumn id="5" xr3:uid="{CD1A17A4-844C-4428-B2A0-8E45AF2627A5}" name="Pajamos _x000a_praeita sav._x000a_(GBO LW)" totalsRowFunction="sum" dataDxfId="917" totalsRowDxfId="916"/>
    <tableColumn id="6" xr3:uid="{E1657BD0-850F-42E9-9EDF-A17FE0E6DE6F}" name="Pakitimas_x000a_(Change)" totalsRowFunction="custom" dataDxfId="915" totalsRowDxfId="914">
      <calculatedColumnFormula>(D3-E3)/E3</calculatedColumnFormula>
      <totalsRowFormula>(D39-E39)/E39</totalsRowFormula>
    </tableColumn>
    <tableColumn id="7" xr3:uid="{49A133F0-6FBD-4C9A-B1D4-1971AB979637}" name="Žiūrovų sk. _x000a_(ADM)" totalsRowFunction="sum" dataDxfId="913" totalsRowDxfId="912"/>
    <tableColumn id="8" xr3:uid="{41D445D5-50DD-4837-B3E0-0B664D8956C9}" name="Seansų sk. _x000a_(Show count)" dataDxfId="911" totalsRowDxfId="910"/>
    <tableColumn id="9" xr3:uid="{700B600A-4F8D-4658-B865-60C1518616A2}" name="Lankomumo vid._x000a_(Average ADM)" dataDxfId="909" totalsRowDxfId="908">
      <calculatedColumnFormula>G3/H3</calculatedColumnFormula>
    </tableColumn>
    <tableColumn id="10" xr3:uid="{EF6210A8-AFE6-4EE0-BDCA-3A66C212AC95}" name="Kopijų sk. _x000a_(DCO count)" dataDxfId="907" totalsRowDxfId="906"/>
    <tableColumn id="11" xr3:uid="{F68292D8-F04F-4D37-B5D8-B54ED12A2B95}" name="Rodymo savaitė_x000a_(Week on screen)" dataDxfId="905" totalsRowDxfId="904"/>
    <tableColumn id="12" xr3:uid="{13528BE5-9317-4E81-80F1-F075EAE4F5A6}" name="Bendros pajamos _x000a_(Total GBO)" dataDxfId="903" totalsRowDxfId="902"/>
    <tableColumn id="13" xr3:uid="{013E157A-E8C7-4035-82F9-D6F6AB8CE4B7}" name="Bendras žiūrovų sk._x000a_(Total ADM)" dataDxfId="901" totalsRowDxfId="900"/>
    <tableColumn id="14" xr3:uid="{E76D6967-1EAE-4223-8217-B9D2AEAE3A3B}" name="Premjeros data _x000a_(Release date)" dataDxfId="899" totalsRowDxfId="898"/>
    <tableColumn id="15" xr3:uid="{D608B265-9143-4D4F-AF86-DF67003B9290}" name="Platintojas _x000a_(Distributor)" dataDxfId="897" totalsRowDxfId="896"/>
  </tableColumns>
  <tableStyleInfo name="TableStyleLight18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6CB48ED-916D-441E-B4F6-D0CF972E4EBC}" name="Table1324567891011121314151617181920212223242526" displayName="Table1324567891011121314151617181920212223242526" ref="A2:O40" totalsRowCount="1" headerRowDxfId="895" dataDxfId="893" totalsRowDxfId="892" headerRowBorderDxfId="894">
  <sortState xmlns:xlrd2="http://schemas.microsoft.com/office/spreadsheetml/2017/richdata2" ref="A3:O39">
    <sortCondition descending="1" ref="D3:D39"/>
  </sortState>
  <tableColumns count="15">
    <tableColumn id="1" xr3:uid="{17E7DE3D-6AC7-4D15-A17A-E471D111A672}" name=" " dataDxfId="891" totalsRowDxfId="890"/>
    <tableColumn id="2" xr3:uid="{B0C8B812-75D5-4A13-B108-98B4490CD188}" name="Column1" totalsRowLabel=" " dataDxfId="889" totalsRowDxfId="888"/>
    <tableColumn id="3" xr3:uid="{71ADD887-FDFF-47AC-840C-11F8263BB051}" name="Filmas _x000a_(Movie)" totalsRowLabel="Total (37)" dataDxfId="887" totalsRowDxfId="886"/>
    <tableColumn id="4" xr3:uid="{6EE93F36-0187-4BFF-A8E2-9A7780F3E536}" name="Pajamos _x000a_(GBO)" totalsRowFunction="sum" dataDxfId="885" totalsRowDxfId="884"/>
    <tableColumn id="5" xr3:uid="{AE2C68F4-FF7F-4CE9-9C3B-00D12BEBE627}" name="Pajamos _x000a_praeita sav._x000a_(GBO LW)" totalsRowFunction="sum" dataDxfId="883" totalsRowDxfId="882"/>
    <tableColumn id="6" xr3:uid="{94F040D7-6462-441F-ADBD-7CC1826EA2D9}" name="Pakitimas_x000a_(Change)" totalsRowFunction="custom" dataDxfId="881" totalsRowDxfId="880">
      <calculatedColumnFormula>(E3-#REF!)/#REF!</calculatedColumnFormula>
      <totalsRowFormula>(D40-E40)/E40</totalsRowFormula>
    </tableColumn>
    <tableColumn id="7" xr3:uid="{EA383623-DA06-45A2-9B45-449B154DFE28}" name="Žiūrovų sk. _x000a_(ADM)" totalsRowFunction="sum" dataDxfId="879" totalsRowDxfId="878"/>
    <tableColumn id="8" xr3:uid="{D98CC506-B71E-468C-95B6-B40411BF62C7}" name="Seansų sk. _x000a_(Show count)" dataDxfId="877" totalsRowDxfId="876"/>
    <tableColumn id="9" xr3:uid="{64769194-5D2B-407C-8064-580FDDC84178}" name="Lankomumo vid._x000a_(Average ADM)" dataDxfId="875" totalsRowDxfId="874">
      <calculatedColumnFormula>G3/H3</calculatedColumnFormula>
    </tableColumn>
    <tableColumn id="10" xr3:uid="{7EAD106C-BC7E-4D1E-8266-F743303CC188}" name="Kopijų sk. _x000a_(DCO count)" dataDxfId="873" totalsRowDxfId="872"/>
    <tableColumn id="11" xr3:uid="{2652E54D-5DE0-4673-AD18-B9632815E399}" name="Rodymo savaitė_x000a_(Week on screen)" dataDxfId="871" totalsRowDxfId="870"/>
    <tableColumn id="12" xr3:uid="{7D7DB938-9752-4D62-9A8F-A107573F8DC2}" name="Bendros pajamos _x000a_(Total GBO)" dataDxfId="869" totalsRowDxfId="868"/>
    <tableColumn id="13" xr3:uid="{98A59BC2-3331-4898-83E2-CE5E920B442C}" name="Bendras žiūrovų sk._x000a_(Total ADM)" dataDxfId="867" totalsRowDxfId="866"/>
    <tableColumn id="14" xr3:uid="{17543E41-907B-447F-A385-16806BBE2F8C}" name="Premjeros data _x000a_(Release date)" dataDxfId="865" totalsRowDxfId="864"/>
    <tableColumn id="15" xr3:uid="{ABBC462A-7753-49BC-A024-0FFD6D20B2DC}" name="Platintojas _x000a_(Distributor)" dataDxfId="863" totalsRowDxfId="862"/>
  </tableColumns>
  <tableStyleInfo name="TableStyleLight18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F72D821A-AF58-43D3-8163-D8EF9D4B6E19}" name="Table13245678910111213141516171819202122232425" displayName="Table13245678910111213141516171819202122232425" ref="A2:O39" totalsRowCount="1" headerRowDxfId="861" dataDxfId="859" totalsRowDxfId="858" headerRowBorderDxfId="860">
  <sortState xmlns:xlrd2="http://schemas.microsoft.com/office/spreadsheetml/2017/richdata2" ref="A3:O38">
    <sortCondition descending="1" ref="D3:D38"/>
  </sortState>
  <tableColumns count="15">
    <tableColumn id="1" xr3:uid="{4CF75E37-F2B3-4383-8D30-FB234B9765A4}" name=" " dataDxfId="857" totalsRowDxfId="856"/>
    <tableColumn id="2" xr3:uid="{BD1620A4-CFB4-42F5-8E94-408E1E4AD390}" name="Column1" totalsRowLabel=" " dataDxfId="855" totalsRowDxfId="854"/>
    <tableColumn id="3" xr3:uid="{B8BEE69F-FF14-429A-878C-0258FF363AC8}" name="Filmas _x000a_(Movie)" totalsRowLabel="Total (36)" dataDxfId="853" totalsRowDxfId="852"/>
    <tableColumn id="4" xr3:uid="{ACD4B5BA-BB01-48FD-9578-B5673DF8D239}" name="Pajamos _x000a_(GBO)" totalsRowFunction="sum" dataDxfId="851" totalsRowDxfId="850"/>
    <tableColumn id="5" xr3:uid="{8BDE5965-5D36-42A7-BFF6-E8E0C79F42D8}" name="Pajamos _x000a_praeita sav._x000a_(GBO LW)" totalsRowFunction="sum" dataDxfId="849" totalsRowDxfId="848"/>
    <tableColumn id="6" xr3:uid="{A2BA9FDB-0F69-4D74-AB8B-F89771F6D48F}" name="Pakitimas_x000a_(Change)" totalsRowFunction="custom" dataDxfId="847" totalsRowDxfId="846">
      <calculatedColumnFormula>(D3-E3)/E3</calculatedColumnFormula>
      <totalsRowFormula>(D39-E39)/E39</totalsRowFormula>
    </tableColumn>
    <tableColumn id="7" xr3:uid="{D0167AED-99E2-4DCD-B53F-18E2CF03C0A3}" name="Žiūrovų sk. _x000a_(ADM)" totalsRowFunction="sum" dataDxfId="845" totalsRowDxfId="844"/>
    <tableColumn id="8" xr3:uid="{CA014E48-19DE-4174-81B4-B0D3D87DB057}" name="Seansų sk. _x000a_(Show count)" dataDxfId="843" totalsRowDxfId="842"/>
    <tableColumn id="9" xr3:uid="{0657D458-D0B2-47BC-9DD3-A37A5DDB453F}" name="Lankomumo vid._x000a_(Average ADM)" dataDxfId="841" totalsRowDxfId="840">
      <calculatedColumnFormula>G3/H3</calculatedColumnFormula>
    </tableColumn>
    <tableColumn id="10" xr3:uid="{87F85D95-9D11-4E5B-87A0-3E25BCE6C8FB}" name="Kopijų sk. _x000a_(DCO count)" dataDxfId="839" totalsRowDxfId="838"/>
    <tableColumn id="11" xr3:uid="{033693AD-B8F6-4CB1-A4F2-D1D9F5FE6F8F}" name="Rodymo savaitė_x000a_(Week on screen)" dataDxfId="837" totalsRowDxfId="836"/>
    <tableColumn id="12" xr3:uid="{0CB14E65-8BA6-486E-BADF-BC6ED3B2F8EE}" name="Bendros pajamos _x000a_(Total GBO)" dataDxfId="835" totalsRowDxfId="834"/>
    <tableColumn id="13" xr3:uid="{294B17E0-8FE2-4701-9EAA-2B2E1C287E9A}" name="Bendras žiūrovų sk._x000a_(Total ADM)" dataDxfId="833" totalsRowDxfId="832"/>
    <tableColumn id="14" xr3:uid="{F54B9986-52E5-4DED-B4DF-0987953E3F43}" name="Premjeros data _x000a_(Release date)" dataDxfId="831" totalsRowDxfId="830"/>
    <tableColumn id="15" xr3:uid="{56380CF4-978D-404F-BF06-6A2D6BC99BE5}" name="Platintojas _x000a_(Distributor)" dataDxfId="829" totalsRowDxfId="828"/>
  </tableColumns>
  <tableStyleInfo name="TableStyleLight18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461E6DC0-72D0-4C1E-A5E8-A227780CE0A2}" name="Table132456789101112131415161718192021222324" displayName="Table132456789101112131415161718192021222324" ref="A2:O61" totalsRowCount="1" headerRowDxfId="827" dataDxfId="825" totalsRowDxfId="824" headerRowBorderDxfId="826">
  <sortState xmlns:xlrd2="http://schemas.microsoft.com/office/spreadsheetml/2017/richdata2" ref="A3:O60">
    <sortCondition descending="1" ref="D3:D60"/>
  </sortState>
  <tableColumns count="15">
    <tableColumn id="1" xr3:uid="{B3B51A47-CF60-423F-8A1E-747AE687477C}" name=" " dataDxfId="823" totalsRowDxfId="822"/>
    <tableColumn id="2" xr3:uid="{E8D3E202-D6B9-4FCB-96D6-FB4CAB015B35}" name="Column1" totalsRowLabel=" " dataDxfId="821" totalsRowDxfId="820"/>
    <tableColumn id="3" xr3:uid="{46F70D42-9861-4699-9128-FAB81AE5FA58}" name="Filmas _x000a_(Movie)" totalsRowLabel="Total (58)" dataDxfId="819" totalsRowDxfId="818"/>
    <tableColumn id="4" xr3:uid="{244D9754-B57D-4525-86A2-4AFB9B425FC5}" name="Pajamos _x000a_(GBO)" totalsRowFunction="sum" dataDxfId="817" totalsRowDxfId="816"/>
    <tableColumn id="5" xr3:uid="{89F6FE76-BAFD-442F-A42C-962A2111F66E}" name="Pajamos _x000a_praeita sav._x000a_(GBO LW)" totalsRowFunction="sum" dataDxfId="815" totalsRowDxfId="814"/>
    <tableColumn id="6" xr3:uid="{870005B2-D37D-432D-A698-DFEBC9BD9AB6}" name="Pakitimas_x000a_(Change)" totalsRowFunction="custom" dataDxfId="813" totalsRowDxfId="812">
      <calculatedColumnFormula>(D3-E3)/E3</calculatedColumnFormula>
      <totalsRowFormula>(D61-E61)/E61</totalsRowFormula>
    </tableColumn>
    <tableColumn id="7" xr3:uid="{110F2ACB-911E-47DF-8467-8548A1FCE971}" name="Žiūrovų sk. _x000a_(ADM)" totalsRowFunction="sum" dataDxfId="811" totalsRowDxfId="810"/>
    <tableColumn id="8" xr3:uid="{4C2B5E5F-D60C-4FE9-BD4F-590FB3341EB9}" name="Seansų sk. _x000a_(Show count)" dataDxfId="809" totalsRowDxfId="808"/>
    <tableColumn id="9" xr3:uid="{5295663A-1C76-4AE6-8277-907D6930C20F}" name="Lankomumo vid._x000a_(Average ADM)" dataDxfId="807" totalsRowDxfId="806">
      <calculatedColumnFormula>G3/H3</calculatedColumnFormula>
    </tableColumn>
    <tableColumn id="10" xr3:uid="{8297481E-075D-492F-8A9A-6C0C28DA3C22}" name="Kopijų sk. _x000a_(DCO count)" dataDxfId="805" totalsRowDxfId="804"/>
    <tableColumn id="11" xr3:uid="{43C6FBCD-DFBD-467D-A7DD-BBD37412B313}" name="Rodymo savaitė_x000a_(Week on screen)" dataDxfId="803" totalsRowDxfId="802"/>
    <tableColumn id="12" xr3:uid="{AE5254C8-E547-4B2D-9032-61E76D82BBDE}" name="Bendros pajamos _x000a_(Total GBO)" dataDxfId="801" totalsRowDxfId="800"/>
    <tableColumn id="13" xr3:uid="{6E1F3582-D0DC-4419-BFB6-1C9400B60525}" name="Bendras žiūrovų sk._x000a_(Total ADM)" dataDxfId="799" totalsRowDxfId="798"/>
    <tableColumn id="14" xr3:uid="{4846B196-F822-49F5-B09B-F0760735A33E}" name="Premjeros data _x000a_(Release date)" dataDxfId="797" totalsRowDxfId="796"/>
    <tableColumn id="15" xr3:uid="{438E503A-DA84-4A96-8114-01B7306F9565}" name="Platintojas _x000a_(Distributor)" dataDxfId="795" totalsRowDxfId="794"/>
  </tableColumns>
  <tableStyleInfo name="TableStyleLight18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D665777D-A9AB-4281-9849-7C889EF24320}" name="Table1324567891011121314151617181920212223" displayName="Table1324567891011121314151617181920212223" ref="A2:O41" totalsRowCount="1" headerRowDxfId="793" dataDxfId="791" totalsRowDxfId="790" headerRowBorderDxfId="792">
  <sortState xmlns:xlrd2="http://schemas.microsoft.com/office/spreadsheetml/2017/richdata2" ref="A3:O40">
    <sortCondition descending="1" ref="D3:D40"/>
  </sortState>
  <tableColumns count="15">
    <tableColumn id="1" xr3:uid="{80CF2E5C-D51D-4906-9C6A-19C18C2B6266}" name=" " dataDxfId="789" totalsRowDxfId="788"/>
    <tableColumn id="2" xr3:uid="{B992F1FE-6E36-4374-B61C-62057E8D30E9}" name="Column1" totalsRowLabel=" " dataDxfId="787" totalsRowDxfId="786"/>
    <tableColumn id="3" xr3:uid="{4F9FFC1F-0849-4686-B84E-DED505BC24AA}" name="Filmas _x000a_(Movie)" totalsRowLabel="Total (38)" dataDxfId="785" totalsRowDxfId="784"/>
    <tableColumn id="4" xr3:uid="{BA6172F1-EF70-49C2-9DBF-9220D3F2DC98}" name="Pajamos _x000a_(GBO)" totalsRowFunction="sum" dataDxfId="783" totalsRowDxfId="782"/>
    <tableColumn id="5" xr3:uid="{384CEF6F-EFE3-4BE0-AD0D-21C7578F070D}" name="Pajamos _x000a_praeita sav._x000a_(GBO LW)" totalsRowFunction="sum" dataDxfId="781" totalsRowDxfId="780"/>
    <tableColumn id="6" xr3:uid="{243A2254-D773-4A53-9A23-203F780FDFFC}" name="Pakitimas_x000a_(Change)" totalsRowFunction="custom" dataDxfId="779" totalsRowDxfId="778">
      <calculatedColumnFormula>(D3-E3)/E3</calculatedColumnFormula>
      <totalsRowFormula>(D41-E41)/E41</totalsRowFormula>
    </tableColumn>
    <tableColumn id="7" xr3:uid="{7A62EB2A-BF13-4002-BD6E-1357AEA09C5D}" name="Žiūrovų sk. _x000a_(ADM)" totalsRowFunction="sum" dataDxfId="777" totalsRowDxfId="776"/>
    <tableColumn id="8" xr3:uid="{4020CC60-DD63-4E0D-9FE6-ADB7B162E708}" name="Seansų sk. _x000a_(Show count)" dataDxfId="775" totalsRowDxfId="774"/>
    <tableColumn id="9" xr3:uid="{E4D0FC23-BBC4-4D06-8E76-10B72EA487AE}" name="Lankomumo vid._x000a_(Average ADM)" dataDxfId="773" totalsRowDxfId="772">
      <calculatedColumnFormula>G3/H3</calculatedColumnFormula>
    </tableColumn>
    <tableColumn id="10" xr3:uid="{92E893BC-3A93-4A12-B634-EFE584AD0D87}" name="Kopijų sk. _x000a_(DCO count)" dataDxfId="771" totalsRowDxfId="770"/>
    <tableColumn id="11" xr3:uid="{6881B227-8520-4207-95FE-FAEFF94D9421}" name="Rodymo savaitė_x000a_(Week on screen)" dataDxfId="769" totalsRowDxfId="768"/>
    <tableColumn id="12" xr3:uid="{13E1C174-7204-43E1-8D8D-87B241EC22E2}" name="Bendros pajamos _x000a_(Total GBO)" dataDxfId="767" totalsRowDxfId="766"/>
    <tableColumn id="13" xr3:uid="{0BE01622-4B7C-47FA-B94D-5DAF13BEBD97}" name="Bendras žiūrovų sk._x000a_(Total ADM)" dataDxfId="765" totalsRowDxfId="764"/>
    <tableColumn id="14" xr3:uid="{B6442C0E-BA1D-42F6-9659-694B2C2771D2}" name="Premjeros data _x000a_(Release date)" dataDxfId="763" totalsRowDxfId="762"/>
    <tableColumn id="15" xr3:uid="{7620BCBB-6325-4BCC-AA64-226D230276F2}" name="Platintojas _x000a_(Distributor)" dataDxfId="761" totalsRowDxfId="760"/>
  </tableColumns>
  <tableStyleInfo name="TableStyleLight18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82276292-0FB0-43AB-AA3E-83A5A813BAFF}" name="Table13245678910111213141516171819202122" displayName="Table13245678910111213141516171819202122" ref="A2:O43" totalsRowCount="1" headerRowDxfId="759" dataDxfId="757" totalsRowDxfId="756" headerRowBorderDxfId="758">
  <sortState xmlns:xlrd2="http://schemas.microsoft.com/office/spreadsheetml/2017/richdata2" ref="A3:O42">
    <sortCondition descending="1" ref="D3:D42"/>
  </sortState>
  <tableColumns count="15">
    <tableColumn id="1" xr3:uid="{9FB83FDD-1E01-4812-8280-FA787B8C7B3C}" name=" " dataDxfId="755" totalsRowDxfId="754"/>
    <tableColumn id="2" xr3:uid="{A40ACC5C-36D9-4AE6-A7A8-F8A3D3181340}" name="Column1" totalsRowLabel=" " dataDxfId="753" totalsRowDxfId="752"/>
    <tableColumn id="3" xr3:uid="{8AEAF3A4-2581-4000-A748-4AD790FC1DEB}" name="Filmas _x000a_(Movie)" totalsRowLabel="Total (40)" dataDxfId="751" totalsRowDxfId="750"/>
    <tableColumn id="4" xr3:uid="{600B6A12-C76A-41DA-B517-285C7A1DABD3}" name="Pajamos _x000a_(GBO)" totalsRowFunction="sum" dataDxfId="749" totalsRowDxfId="748"/>
    <tableColumn id="5" xr3:uid="{A26E522D-ACC4-42A3-8233-362763E36C5C}" name="Pajamos _x000a_praeita sav._x000a_(GBO LW)" totalsRowLabel="206 263 €" dataDxfId="747" totalsRowDxfId="746"/>
    <tableColumn id="6" xr3:uid="{74175960-A7DB-4EA2-9EE0-B7AEB185CC00}" name="Pakitimas_x000a_(Change)" totalsRowFunction="custom" dataDxfId="745" totalsRowDxfId="744">
      <calculatedColumnFormula>(D3-E3)/E3</calculatedColumnFormula>
      <totalsRowFormula>(D43-E43)/E43</totalsRowFormula>
    </tableColumn>
    <tableColumn id="7" xr3:uid="{4A06CE91-2DB7-4DF9-A592-1AEB5A17338D}" name="Žiūrovų sk. _x000a_(ADM)" totalsRowFunction="sum" dataDxfId="743" totalsRowDxfId="742"/>
    <tableColumn id="8" xr3:uid="{8B2940BA-2689-414F-B0E8-6CCA208B0784}" name="Seansų sk. _x000a_(Show count)" dataDxfId="741" totalsRowDxfId="740"/>
    <tableColumn id="9" xr3:uid="{2A1CAA8A-0E98-479D-B55D-7DAFFD6EC076}" name="Lankomumo vid._x000a_(Average ADM)" dataDxfId="739" totalsRowDxfId="738">
      <calculatedColumnFormula>G3/H3</calculatedColumnFormula>
    </tableColumn>
    <tableColumn id="10" xr3:uid="{BADE3FC6-D15E-44A5-8F11-04ACAFFEA78A}" name="Kopijų sk. _x000a_(DCO count)" dataDxfId="737" totalsRowDxfId="736"/>
    <tableColumn id="11" xr3:uid="{E4B4F681-0767-4DFA-8DA7-D1A0702DC0A2}" name="Rodymo savaitė_x000a_(Week on screen)" dataDxfId="735" totalsRowDxfId="734"/>
    <tableColumn id="12" xr3:uid="{9DC1F295-12B8-469B-BC57-9690CCC58F0B}" name="Bendros pajamos _x000a_(Total GBO)" dataDxfId="733" totalsRowDxfId="732"/>
    <tableColumn id="13" xr3:uid="{4C1A2B31-FB78-4A77-B475-688379114143}" name="Bendras žiūrovų sk._x000a_(Total ADM)" dataDxfId="731" totalsRowDxfId="730"/>
    <tableColumn id="14" xr3:uid="{C5D88FB7-ABE5-4841-B25B-5D0DE99946E9}" name="Premjeros data _x000a_(Release date)" dataDxfId="729" totalsRowDxfId="728"/>
    <tableColumn id="15" xr3:uid="{004C78FC-0DEF-4935-A4B3-CC60543AFCAB}" name="Platintojas _x000a_(Distributor)" dataDxfId="727" totalsRowDxfId="726"/>
  </tableColumns>
  <tableStyleInfo name="TableStyleLight18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1A9CF1E-3EB5-4B19-82AD-91ECC0F81428}" name="Table132456789101112131415161718192021" displayName="Table132456789101112131415161718192021" ref="A2:O43" totalsRowCount="1" headerRowDxfId="725" dataDxfId="723" totalsRowDxfId="722" headerRowBorderDxfId="724">
  <sortState xmlns:xlrd2="http://schemas.microsoft.com/office/spreadsheetml/2017/richdata2" ref="A3:O42">
    <sortCondition descending="1" ref="D3:D42"/>
  </sortState>
  <tableColumns count="15">
    <tableColumn id="1" xr3:uid="{BFA01B55-3995-4250-8C82-6E2C5EB67C6E}" name=" " dataDxfId="721" totalsRowDxfId="720"/>
    <tableColumn id="2" xr3:uid="{3F488A1D-AD96-4D15-A9DB-99F96833F7F5}" name="Column1" totalsRowLabel=" " dataDxfId="719" totalsRowDxfId="718"/>
    <tableColumn id="3" xr3:uid="{3DCC7114-E74C-4A38-83CA-86010B6F66B2}" name="Filmas _x000a_(Movie)" totalsRowLabel="Total (40)" dataDxfId="717" totalsRowDxfId="716"/>
    <tableColumn id="4" xr3:uid="{7C53C2B2-4B65-42B2-8650-339262A26EED}" name="Pajamos _x000a_(GBO)" totalsRowFunction="sum" dataDxfId="715" totalsRowDxfId="714"/>
    <tableColumn id="5" xr3:uid="{07631349-674D-47BD-A1EA-F25F5B48A9DF}" name="Pajamos _x000a_praeita sav._x000a_(GBO LW)" totalsRowLabel="411 561 €" dataDxfId="713" totalsRowDxfId="712"/>
    <tableColumn id="6" xr3:uid="{41C187BA-6C9C-4218-873F-D2C353627DC4}" name="Pakitimas_x000a_(Change)" totalsRowFunction="custom" dataDxfId="711" totalsRowDxfId="710">
      <calculatedColumnFormula>(D3-E3)/E3</calculatedColumnFormula>
      <totalsRowFormula>(D43-E43)/E43</totalsRowFormula>
    </tableColumn>
    <tableColumn id="7" xr3:uid="{1EF0D982-420C-4608-BC30-96642DDBC240}" name="Žiūrovų sk. _x000a_(ADM)" totalsRowFunction="sum" dataDxfId="709" totalsRowDxfId="708"/>
    <tableColumn id="8" xr3:uid="{E7E01E78-4BF3-4EAD-A3FA-500DCB42986A}" name="Seansų sk. _x000a_(Show count)" dataDxfId="707" totalsRowDxfId="706"/>
    <tableColumn id="9" xr3:uid="{EA0FE9E7-06E9-4CB8-8EAC-8A87533F4F9E}" name="Lankomumo vid._x000a_(Average ADM)" dataDxfId="705" totalsRowDxfId="704">
      <calculatedColumnFormula>G3/H3</calculatedColumnFormula>
    </tableColumn>
    <tableColumn id="10" xr3:uid="{F01847AC-8989-41B3-BBDD-24E5885B1AD6}" name="Kopijų sk. _x000a_(DCO count)" dataDxfId="703" totalsRowDxfId="702"/>
    <tableColumn id="11" xr3:uid="{5B09F654-9610-4229-B4F0-E2AC6FC82055}" name="Rodymo savaitė_x000a_(Week on screen)" dataDxfId="701" totalsRowDxfId="700"/>
    <tableColumn id="12" xr3:uid="{13BE684E-5C98-4A95-845D-5D51416EE67F}" name="Bendros pajamos _x000a_(Total GBO)" dataDxfId="699" totalsRowDxfId="698"/>
    <tableColumn id="13" xr3:uid="{AED52D5A-2F86-4E45-AFB0-661B26FB05E1}" name="Bendras žiūrovų sk._x000a_(Total ADM)" dataDxfId="697" totalsRowDxfId="696"/>
    <tableColumn id="14" xr3:uid="{32960570-1432-4DDC-A196-CB7F39C04A3B}" name="Premjeros data _x000a_(Release date)" dataDxfId="695" totalsRowDxfId="694"/>
    <tableColumn id="15" xr3:uid="{6996F5DE-4B18-4B87-B3CB-2AB03E0B26E3}" name="Platintojas _x000a_(Distributor)" dataDxfId="693" totalsRowDxfId="692"/>
  </tableColumns>
  <tableStyleInfo name="TableStyleLight18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D0EA388-3916-468E-B3AA-B96E2CD43E26}" name="Table1324567891011121314151617181920" displayName="Table1324567891011121314151617181920" ref="A2:P42" totalsRowCount="1" headerRowDxfId="691" dataDxfId="689" totalsRowDxfId="688" headerRowBorderDxfId="690">
  <sortState xmlns:xlrd2="http://schemas.microsoft.com/office/spreadsheetml/2017/richdata2" ref="A3:P41">
    <sortCondition descending="1" ref="D3:D41"/>
  </sortState>
  <tableColumns count="16">
    <tableColumn id="1" xr3:uid="{27337716-859A-413F-AE30-DA17A4AD1BB4}" name=" " dataDxfId="687" totalsRowDxfId="686"/>
    <tableColumn id="2" xr3:uid="{5E6AA32F-05BC-44E5-BE2D-C46FFAFC2E79}" name="Column1" totalsRowLabel=" " dataDxfId="685" totalsRowDxfId="684"/>
    <tableColumn id="3" xr3:uid="{F0432475-3941-4FE3-B3E1-5E8B502215FF}" name="Filmas _x000a_(Movie)" totalsRowLabel="Total (39)" dataDxfId="683" totalsRowDxfId="682"/>
    <tableColumn id="4" xr3:uid="{D2615866-D99D-4478-AFB2-6E2D67E6C137}" name="Pajamos _x000a_(GBO)" totalsRowFunction="sum" dataDxfId="681" totalsRowDxfId="680"/>
    <tableColumn id="5" xr3:uid="{A45CC78C-ADA3-4C4E-9B72-514F6F150C02}" name="Pajamos _x000a_praeita sav._x000a_(GBO LW)" totalsRowLabel="377 326 €" dataDxfId="679" totalsRowDxfId="678"/>
    <tableColumn id="6" xr3:uid="{6DCF3884-6C39-4E8A-8B94-549D330802C2}" name="Pakitimas_x000a_(Change)" totalsRowFunction="custom" dataDxfId="677" totalsRowDxfId="676">
      <calculatedColumnFormula>(D3-E3)/E3</calculatedColumnFormula>
      <totalsRowFormula>(D42-E42)/E42</totalsRowFormula>
    </tableColumn>
    <tableColumn id="7" xr3:uid="{78002031-210B-4157-9997-B942A19A9CD5}" name="Žiūrovų sk. _x000a_(ADM)" totalsRowFunction="sum" dataDxfId="675" totalsRowDxfId="674"/>
    <tableColumn id="8" xr3:uid="{8F3FA8C7-F9A7-4528-8CE5-269F667AD479}" name="Seansų sk. _x000a_(Show count)" dataDxfId="673" totalsRowDxfId="672"/>
    <tableColumn id="9" xr3:uid="{EF870955-DA24-4C9D-9C96-1BDABD091C9A}" name="Lankomumo vid._x000a_(Average ADM)" dataDxfId="671" totalsRowDxfId="670">
      <calculatedColumnFormula>G3/H3</calculatedColumnFormula>
    </tableColumn>
    <tableColumn id="10" xr3:uid="{60834718-9FF4-43DE-84C9-3C4E16005EB1}" name="Kopijų sk. _x000a_(DCO count)" dataDxfId="669" totalsRowDxfId="668"/>
    <tableColumn id="11" xr3:uid="{9EDF7C51-5285-44FA-9E8D-0FDE86D6F01B}" name="Rodymo savaitė_x000a_(Week on screen)" dataDxfId="667" totalsRowDxfId="666"/>
    <tableColumn id="12" xr3:uid="{CFD831AA-C19D-4A27-A645-16EFE5F0AC18}" name="Bendros pajamos _x000a_(Total GBO)" dataDxfId="665" totalsRowDxfId="664"/>
    <tableColumn id="13" xr3:uid="{4F1B4378-6B83-4015-9A46-804E5656A071}" name="Bendras žiūrovų sk._x000a_(Total ADM)" dataDxfId="663" totalsRowDxfId="662"/>
    <tableColumn id="14" xr3:uid="{1358A1D8-5A09-4A6E-9AFB-0EB3FEAD0493}" name="Premjeros data _x000a_(Release date)" dataDxfId="661" totalsRowDxfId="660"/>
    <tableColumn id="15" xr3:uid="{4FEADC94-DCCF-4A60-9304-DD47DC548C85}" name="Platintojas _x000a_(Distributor)" dataDxfId="659" totalsRowDxfId="658"/>
    <tableColumn id="16" xr3:uid="{9C4AF15B-E565-4716-9F63-F5914346B125}" name="Column2" dataDxfId="657" totalsRowDxfId="656"/>
  </tableColumns>
  <tableStyleInfo name="TableStyleLight18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C78755D-F134-4CFA-A876-1A58CB174352}" name="Table13245678910111213141516171819" displayName="Table13245678910111213141516171819" ref="A2:P45" totalsRowCount="1" headerRowDxfId="655" dataDxfId="653" totalsRowDxfId="652" headerRowBorderDxfId="654">
  <sortState xmlns:xlrd2="http://schemas.microsoft.com/office/spreadsheetml/2017/richdata2" ref="A3:P44">
    <sortCondition descending="1" ref="D3:D44"/>
  </sortState>
  <tableColumns count="16">
    <tableColumn id="1" xr3:uid="{DB5E1BF2-0D1E-47C5-B186-132D88C97D96}" name=" " dataDxfId="651" totalsRowDxfId="650"/>
    <tableColumn id="2" xr3:uid="{C43CEEB9-3612-4BA8-946F-2CFC1D47C991}" name="Column1" totalsRowLabel=" " dataDxfId="649" totalsRowDxfId="648"/>
    <tableColumn id="3" xr3:uid="{DEF5AA41-C668-4807-A1BA-41E20F71206F}" name="Filmas _x000a_(Movie)" totalsRowLabel="Total (42)" dataDxfId="647" totalsRowDxfId="646"/>
    <tableColumn id="4" xr3:uid="{8AA2BC58-2350-41BF-BDF9-299F41D3C568}" name="Pajamos _x000a_(GBO)" totalsRowFunction="sum" dataDxfId="645" totalsRowDxfId="644"/>
    <tableColumn id="5" xr3:uid="{40585428-B527-426A-99B6-254FD6F14035}" name="Pajamos _x000a_praeita sav._x000a_(GBO LW)" totalsRowLabel="347 966 €" dataDxfId="643" totalsRowDxfId="642"/>
    <tableColumn id="6" xr3:uid="{089C9274-0DD3-45EB-8EB8-F8BC1837CD27}" name="Pakitimas_x000a_(Change)" totalsRowFunction="custom" dataDxfId="641" totalsRowDxfId="640">
      <calculatedColumnFormula>(D3-E3)/E3</calculatedColumnFormula>
      <totalsRowFormula>(D45-E45)/E45</totalsRowFormula>
    </tableColumn>
    <tableColumn id="7" xr3:uid="{309542F3-2E72-4646-827E-8AE50C7828E4}" name="Žiūrovų sk. _x000a_(ADM)" totalsRowFunction="sum" dataDxfId="639" totalsRowDxfId="638"/>
    <tableColumn id="8" xr3:uid="{4A7B7F71-4406-4C8F-8A57-8D7CB29EA3E8}" name="Seansų sk. _x000a_(Show count)" dataDxfId="637" totalsRowDxfId="636"/>
    <tableColumn id="9" xr3:uid="{04D56B7F-BE19-48C0-A89D-68C8FB3922DB}" name="Lankomumo vid._x000a_(Average ADM)" dataDxfId="635" totalsRowDxfId="634">
      <calculatedColumnFormula>G3/H3</calculatedColumnFormula>
    </tableColumn>
    <tableColumn id="10" xr3:uid="{EBD41201-9F60-4151-9A6D-F93EC2A8E492}" name="Kopijų sk. _x000a_(DCO count)" dataDxfId="633" totalsRowDxfId="632"/>
    <tableColumn id="11" xr3:uid="{1684373C-0E5E-4B7E-AADC-FD61A02CDD3C}" name="Rodymo savaitė_x000a_(Week on screen)" dataDxfId="631" totalsRowDxfId="630"/>
    <tableColumn id="12" xr3:uid="{887FF908-3B65-41F5-AF0E-93B0921B1B2A}" name="Bendros pajamos _x000a_(Total GBO)" dataDxfId="629" totalsRowDxfId="628"/>
    <tableColumn id="13" xr3:uid="{067B503C-63B9-49BA-90FD-C6EFFDB026A9}" name="Bendras žiūrovų sk._x000a_(Total ADM)" dataDxfId="627" totalsRowDxfId="626"/>
    <tableColumn id="14" xr3:uid="{0258ADAA-FE98-4A30-91DD-419B12F5C773}" name="Premjeros data _x000a_(Release date)" dataDxfId="625" totalsRowDxfId="624"/>
    <tableColumn id="15" xr3:uid="{56579610-B4C7-42FD-B870-858058F4E9F0}" name="Platintojas _x000a_(Distributor)" dataDxfId="623" totalsRowDxfId="622"/>
    <tableColumn id="16" xr3:uid="{E4FE77CE-EC99-4F81-A24D-E0CC17142634}" name="Column2" dataDxfId="621" totalsRowDxfId="620"/>
  </tableColumns>
  <tableStyleInfo name="TableStyleLight18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5C1FCAF-5016-49D2-A905-C13E224D1A88}" name="Table132456789101112131415161718" displayName="Table132456789101112131415161718" ref="A2:P54" totalsRowCount="1" headerRowDxfId="619" dataDxfId="617" totalsRowDxfId="616" headerRowBorderDxfId="618">
  <sortState xmlns:xlrd2="http://schemas.microsoft.com/office/spreadsheetml/2017/richdata2" ref="A3:P53">
    <sortCondition descending="1" ref="D3:D53"/>
  </sortState>
  <tableColumns count="16">
    <tableColumn id="1" xr3:uid="{7F2C7634-0F29-4302-BE6C-FDCF2148D477}" name=" " dataDxfId="615" totalsRowDxfId="614"/>
    <tableColumn id="2" xr3:uid="{E382EF40-92B0-429D-98F3-C2B0315E5C34}" name="Column1" totalsRowLabel=" " dataDxfId="613" totalsRowDxfId="612"/>
    <tableColumn id="3" xr3:uid="{5C12AA27-7469-441F-B759-E494963017AE}" name="Filmas _x000a_(Movie)" totalsRowLabel="Total (51)" dataDxfId="611" totalsRowDxfId="610"/>
    <tableColumn id="4" xr3:uid="{DFB7813C-AD95-481C-ADAC-6EE096D83FBE}" name="Pajamos _x000a_(GBO)" totalsRowFunction="sum" dataDxfId="609" totalsRowDxfId="608"/>
    <tableColumn id="5" xr3:uid="{D25AA642-AFF5-440D-B0D4-F241EB9F38D4}" name="Pajamos _x000a_praeita sav._x000a_(GBO LW)" totalsRowLabel="209 088 €" dataDxfId="607" totalsRowDxfId="606"/>
    <tableColumn id="6" xr3:uid="{8F066B88-DA84-4A0C-9145-5F0E852AD969}" name="Pakitimas_x000a_(Change)" totalsRowFunction="custom" dataDxfId="605" totalsRowDxfId="604">
      <calculatedColumnFormula>(D3-E3)/E3</calculatedColumnFormula>
      <totalsRowFormula>(D54-E54)/E54</totalsRowFormula>
    </tableColumn>
    <tableColumn id="7" xr3:uid="{4EF29079-275F-4A64-A3AA-F5FE93449289}" name="Žiūrovų sk. _x000a_(ADM)" totalsRowFunction="sum" dataDxfId="603" totalsRowDxfId="602"/>
    <tableColumn id="8" xr3:uid="{58B6B8C3-5EE1-4E0A-8256-ED5063A96628}" name="Seansų sk. _x000a_(Show count)" dataDxfId="601" totalsRowDxfId="600"/>
    <tableColumn id="9" xr3:uid="{665B9F92-782B-4FF3-9F43-5B0FB23E9E60}" name="Lankomumo vid._x000a_(Average ADM)" dataDxfId="599" totalsRowDxfId="598">
      <calculatedColumnFormula>G3/H3</calculatedColumnFormula>
    </tableColumn>
    <tableColumn id="10" xr3:uid="{267BD871-626B-4014-9D32-01991BB4E79A}" name="Kopijų sk. _x000a_(DCO count)" dataDxfId="597" totalsRowDxfId="596"/>
    <tableColumn id="11" xr3:uid="{FA8CE6B3-8892-4DBF-AC9D-4973C1353B08}" name="Rodymo savaitė_x000a_(Week on screen)" dataDxfId="595" totalsRowDxfId="594"/>
    <tableColumn id="12" xr3:uid="{753987F6-5255-4F44-8D30-E863E4B893A8}" name="Bendros pajamos _x000a_(Total GBO)" dataDxfId="593" totalsRowDxfId="592"/>
    <tableColumn id="13" xr3:uid="{9F6D5781-7647-4591-9D1F-1F647CEABBF4}" name="Bendras žiūrovų sk._x000a_(Total ADM)" dataDxfId="591" totalsRowDxfId="590"/>
    <tableColumn id="14" xr3:uid="{DB92ADB9-4EC3-474A-AD06-F1AE504D65BD}" name="Premjeros data _x000a_(Release date)" dataDxfId="589" totalsRowDxfId="588"/>
    <tableColumn id="15" xr3:uid="{D1236BC9-4F87-4405-98DD-107A66FE5508}" name="Platintojas _x000a_(Distributor)" dataDxfId="587" totalsRowDxfId="586"/>
    <tableColumn id="16" xr3:uid="{81958845-4757-4301-B83B-2EC00DBEF89A}" name="Column2" dataDxfId="585" totalsRowDxfId="584"/>
  </tableColumns>
  <tableStyleInfo name="TableStyleLight18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8B81145-7720-4ED8-8BCF-1503A6471E58}" name="Table1324567891011121314151617" displayName="Table1324567891011121314151617" ref="A2:P45" totalsRowCount="1" headerRowDxfId="583" dataDxfId="581" totalsRowDxfId="580" headerRowBorderDxfId="582">
  <sortState xmlns:xlrd2="http://schemas.microsoft.com/office/spreadsheetml/2017/richdata2" ref="A3:P44">
    <sortCondition descending="1" ref="D3:D44"/>
  </sortState>
  <tableColumns count="16">
    <tableColumn id="1" xr3:uid="{7DAFEA5B-C4C4-4411-8370-8E0A45E4738A}" name=" " dataDxfId="579" totalsRowDxfId="578"/>
    <tableColumn id="2" xr3:uid="{B6D202D5-49D5-40ED-B328-3003553BDADA}" name="Column1" totalsRowLabel=" " dataDxfId="577" totalsRowDxfId="576"/>
    <tableColumn id="3" xr3:uid="{B2070519-2F39-4447-B362-56129973F74A}" name="Filmas _x000a_(Movie)" totalsRowLabel="Total (42)" dataDxfId="575" totalsRowDxfId="574"/>
    <tableColumn id="4" xr3:uid="{FF13E2D2-D500-43DB-92B3-8F3B33D7E848}" name="Pajamos _x000a_(GBO)" totalsRowFunction="sum" dataDxfId="573" totalsRowDxfId="572"/>
    <tableColumn id="5" xr3:uid="{A1F43D23-BBA8-40AF-B2CD-A6C002123D30}" name="Pajamos _x000a_praeita sav._x000a_(GBO LW)" totalsRowLabel="298 386 €" dataDxfId="571" totalsRowDxfId="570"/>
    <tableColumn id="6" xr3:uid="{633E90A1-1396-4650-8446-4586110AC591}" name="Pakitimas_x000a_(Change)" totalsRowFunction="custom" dataDxfId="569" totalsRowDxfId="568">
      <calculatedColumnFormula>(D3-E3)/E3</calculatedColumnFormula>
      <totalsRowFormula>(D45-E45)/E45</totalsRowFormula>
    </tableColumn>
    <tableColumn id="7" xr3:uid="{B6F7EDFD-436B-4D53-830E-48C9B66E0528}" name="Žiūrovų sk. _x000a_(ADM)" totalsRowFunction="sum" dataDxfId="567" totalsRowDxfId="566"/>
    <tableColumn id="8" xr3:uid="{54CD5348-2A0C-42FB-892F-6387926A404A}" name="Seansų sk. _x000a_(Show count)" dataDxfId="565" totalsRowDxfId="564"/>
    <tableColumn id="9" xr3:uid="{01C63AF8-3409-4A91-8C8B-7AFFC9F20E30}" name="Lankomumo vid._x000a_(Average ADM)" dataDxfId="563" totalsRowDxfId="562">
      <calculatedColumnFormula>G3/H3</calculatedColumnFormula>
    </tableColumn>
    <tableColumn id="10" xr3:uid="{5E7152A9-F92A-4C1B-845D-86A849C38B39}" name="Kopijų sk. _x000a_(DCO count)" dataDxfId="561" totalsRowDxfId="560"/>
    <tableColumn id="11" xr3:uid="{F87C8A34-8E94-4E24-8A9A-606994DDB319}" name="Rodymo savaitė_x000a_(Week on screen)" dataDxfId="559" totalsRowDxfId="558"/>
    <tableColumn id="12" xr3:uid="{41DD6D56-4425-47C9-B04C-F6272A650823}" name="Bendros pajamos _x000a_(Total GBO)" dataDxfId="557" totalsRowDxfId="556"/>
    <tableColumn id="13" xr3:uid="{437C8BC9-3EF2-439C-BE7F-C85ECBF12051}" name="Bendras žiūrovų sk._x000a_(Total ADM)" dataDxfId="555" totalsRowDxfId="554"/>
    <tableColumn id="14" xr3:uid="{EC07E5CB-37E6-421B-90AD-C24FAE0C818C}" name="Premjeros data _x000a_(Release date)" dataDxfId="553" totalsRowDxfId="552"/>
    <tableColumn id="15" xr3:uid="{145195EB-E93C-403E-96A8-BA199CA44FE8}" name="Platintojas _x000a_(Distributor)" dataDxfId="551" totalsRowDxfId="550"/>
    <tableColumn id="16" xr3:uid="{E3364777-8790-4F72-9661-CD5FA5ED59D8}" name="Column2" dataDxfId="549" totalsRowDxfId="548"/>
  </tableColumns>
  <tableStyleInfo name="TableStyleLight18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E38CFF8-4DA2-4CB0-9D50-E09DA6302E0C}" name="Table13245678910111213141516" displayName="Table13245678910111213141516" ref="A2:P45" totalsRowCount="1" headerRowDxfId="547" dataDxfId="545" totalsRowDxfId="544" headerRowBorderDxfId="546">
  <sortState xmlns:xlrd2="http://schemas.microsoft.com/office/spreadsheetml/2017/richdata2" ref="A3:P44">
    <sortCondition descending="1" ref="D3:D44"/>
  </sortState>
  <tableColumns count="16">
    <tableColumn id="1" xr3:uid="{87F6D12B-174E-401B-A061-9ECF075A0C5B}" name=" " dataDxfId="543" totalsRowDxfId="542"/>
    <tableColumn id="2" xr3:uid="{F41A702D-0041-46C3-9AAF-AF58BDD6D5DF}" name="Column1" totalsRowLabel=" " dataDxfId="541" totalsRowDxfId="540"/>
    <tableColumn id="3" xr3:uid="{81D525FB-1C22-464B-ABB3-D9C22E6CC805}" name="Filmas _x000a_(Movie)" totalsRowLabel="Total (42)" dataDxfId="539" totalsRowDxfId="538"/>
    <tableColumn id="4" xr3:uid="{0A6E8BF5-A6EE-4238-95F2-BCEFCE1D795A}" name="Pajamos _x000a_(GBO)" totalsRowFunction="sum" dataDxfId="537" totalsRowDxfId="536"/>
    <tableColumn id="5" xr3:uid="{F99FE98D-C14B-4CAD-A036-5BDA8FCE443E}" name="Pajamos _x000a_praeita sav._x000a_(GBO LW)" totalsRowLabel="230 094 €" dataDxfId="535" totalsRowDxfId="534"/>
    <tableColumn id="6" xr3:uid="{EAF43417-07C2-4BAC-A6D5-CB21AD4EF1AF}" name="Pakitimas_x000a_(Change)" totalsRowFunction="custom" dataDxfId="533" totalsRowDxfId="532">
      <calculatedColumnFormula>(D3-E3)/E3</calculatedColumnFormula>
      <totalsRowFormula>(D45-E45)/E45</totalsRowFormula>
    </tableColumn>
    <tableColumn id="7" xr3:uid="{2EDE6E38-3A15-48DF-8FDD-179090D278B5}" name="Žiūrovų sk. _x000a_(ADM)" totalsRowFunction="sum" dataDxfId="531" totalsRowDxfId="530"/>
    <tableColumn id="8" xr3:uid="{D8BBDAC8-194A-4255-B2ED-887907290796}" name="Seansų sk. _x000a_(Show count)" dataDxfId="529" totalsRowDxfId="528"/>
    <tableColumn id="9" xr3:uid="{40EF8CB4-DB98-4B7D-B7BE-4967BDC2D75F}" name="Lankomumo vid._x000a_(Average ADM)" dataDxfId="527" totalsRowDxfId="526">
      <calculatedColumnFormula>G3/H3</calculatedColumnFormula>
    </tableColumn>
    <tableColumn id="10" xr3:uid="{F3C03831-63D0-444C-89AB-F80786EC8553}" name="Kopijų sk. _x000a_(DCO count)" dataDxfId="525" totalsRowDxfId="524"/>
    <tableColumn id="11" xr3:uid="{2ECDFD33-911E-495D-B367-7EFCA0209294}" name="Rodymo savaitė_x000a_(Week on screen)" dataDxfId="523" totalsRowDxfId="522"/>
    <tableColumn id="12" xr3:uid="{6BD730B2-57D2-4307-991A-E77884650428}" name="Bendros pajamos _x000a_(Total GBO)" dataDxfId="521" totalsRowDxfId="520"/>
    <tableColumn id="13" xr3:uid="{87220CEA-7738-4A30-B69D-C92C545174A6}" name="Bendras žiūrovų sk._x000a_(Total ADM)" dataDxfId="519" totalsRowDxfId="518"/>
    <tableColumn id="14" xr3:uid="{71D53FFB-7EAE-4657-8A40-B132F72F8055}" name="Premjeros data _x000a_(Release date)" dataDxfId="517" totalsRowDxfId="516"/>
    <tableColumn id="15" xr3:uid="{073D6A43-89EF-4F9E-8710-BED8A527DF1B}" name="Platintojas _x000a_(Distributor)" dataDxfId="515" totalsRowDxfId="514"/>
    <tableColumn id="16" xr3:uid="{40EAF7FD-22D2-4B0D-8AC3-DD71A1EA2F42}" name="Column2" dataDxfId="513" totalsRowDxfId="512"/>
  </tableColumns>
  <tableStyleInfo name="TableStyleLight18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1F0357A-8EA9-440A-B60A-ABD1E056E7E4}" name="Table132456789101112131415" displayName="Table132456789101112131415" ref="A2:P40" totalsRowCount="1" headerRowDxfId="511" dataDxfId="509" totalsRowDxfId="508" headerRowBorderDxfId="510">
  <sortState xmlns:xlrd2="http://schemas.microsoft.com/office/spreadsheetml/2017/richdata2" ref="A3:P39">
    <sortCondition descending="1" ref="D3:D39"/>
  </sortState>
  <tableColumns count="16">
    <tableColumn id="1" xr3:uid="{93F42B0D-6621-4C42-878E-030395C09F4A}" name=" " dataDxfId="507" totalsRowDxfId="506"/>
    <tableColumn id="2" xr3:uid="{98873C69-C6F2-4075-B5F2-99D770CB0A23}" name="Column1" totalsRowLabel=" " dataDxfId="505" totalsRowDxfId="504"/>
    <tableColumn id="3" xr3:uid="{B3DC0930-1965-492E-983B-B6693C7A9B0E}" name="Filmas _x000a_(Movie)" totalsRowLabel="Total (37)" dataDxfId="503" totalsRowDxfId="502"/>
    <tableColumn id="4" xr3:uid="{C4D3472C-0844-46AD-953B-5B56B4A9B407}" name="Pajamos _x000a_(GBO)" totalsRowFunction="sum" dataDxfId="501" totalsRowDxfId="500"/>
    <tableColumn id="5" xr3:uid="{A08C0928-7AE7-47F5-A033-5466B76BBDA2}" name="Pajamos _x000a_praeita sav._x000a_(GBO LW)" totalsRowLabel="288 873 €" dataDxfId="499" totalsRowDxfId="498"/>
    <tableColumn id="6" xr3:uid="{4DB8295C-959E-418C-BB05-C65A5DE708FC}" name="Pakitimas_x000a_(Change)" totalsRowFunction="custom" dataDxfId="497" totalsRowDxfId="496">
      <calculatedColumnFormula>(D3-E3)/E3</calculatedColumnFormula>
      <totalsRowFormula>(D40-E40)/E40</totalsRowFormula>
    </tableColumn>
    <tableColumn id="7" xr3:uid="{669D871E-4D2F-4C0C-BD25-058FD93EFF0C}" name="Žiūrovų sk. _x000a_(ADM)" totalsRowFunction="sum" dataDxfId="495" totalsRowDxfId="494"/>
    <tableColumn id="8" xr3:uid="{D730E97B-9CB2-4C08-90D8-4F3B1EECB0C5}" name="Seansų sk. _x000a_(Show count)" dataDxfId="493" totalsRowDxfId="492"/>
    <tableColumn id="9" xr3:uid="{CA7C75E6-9CAD-446C-86F5-B360F5061661}" name="Lankomumo vid._x000a_(Average ADM)" dataDxfId="491" totalsRowDxfId="490">
      <calculatedColumnFormula>G3/H3</calculatedColumnFormula>
    </tableColumn>
    <tableColumn id="10" xr3:uid="{B558C8AE-985C-46F7-8985-04BF222745A0}" name="Kopijų sk. _x000a_(DCO count)" dataDxfId="489" totalsRowDxfId="488"/>
    <tableColumn id="11" xr3:uid="{5814C38D-D4D3-42C6-90F6-93B40ABDA9F0}" name="Rodymo savaitė_x000a_(Week on screen)" dataDxfId="487" totalsRowDxfId="486"/>
    <tableColumn id="12" xr3:uid="{4A22D8F1-06DD-4005-9D50-DC1FAA080C36}" name="Bendros pajamos _x000a_(Total GBO)" dataDxfId="485" totalsRowDxfId="484"/>
    <tableColumn id="13" xr3:uid="{216F44C0-A922-4739-86C4-7782518786F1}" name="Bendras žiūrovų sk._x000a_(Total ADM)" dataDxfId="483" totalsRowDxfId="482"/>
    <tableColumn id="14" xr3:uid="{172298D8-9B96-4202-B39D-5D02E1E608A2}" name="Premjeros data _x000a_(Release date)" dataDxfId="481" totalsRowDxfId="480"/>
    <tableColumn id="15" xr3:uid="{259B6218-7385-43A5-BFB0-ACA4347554AB}" name="Platintojas _x000a_(Distributor)" dataDxfId="479" totalsRowDxfId="478"/>
    <tableColumn id="16" xr3:uid="{B37469C4-B70B-4BEB-AFD5-D984DC029BB5}" name="Column2" dataDxfId="477" totalsRowDxfId="476"/>
  </tableColumns>
  <tableStyleInfo name="TableStyleLight18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39CF9B9-E105-4BCD-9258-D9C1F618911A}" name="Table1324567891011121314" displayName="Table1324567891011121314" ref="A2:P44" totalsRowCount="1" headerRowDxfId="475" dataDxfId="473" totalsRowDxfId="472" headerRowBorderDxfId="474">
  <sortState xmlns:xlrd2="http://schemas.microsoft.com/office/spreadsheetml/2017/richdata2" ref="A3:P43">
    <sortCondition descending="1" ref="D3:D43"/>
  </sortState>
  <tableColumns count="16">
    <tableColumn id="1" xr3:uid="{85532AA4-23AB-4246-B109-67C197ADF998}" name=" " dataDxfId="471" totalsRowDxfId="470"/>
    <tableColumn id="2" xr3:uid="{0FFA816E-5101-4186-8C1A-64C4F43AE5C2}" name="Column1" totalsRowLabel=" " dataDxfId="469" totalsRowDxfId="468"/>
    <tableColumn id="3" xr3:uid="{73A53CE1-C39F-4447-9F30-708854D5D060}" name="Filmas _x000a_(Movie)" totalsRowLabel="Total (41)" dataDxfId="467" totalsRowDxfId="466"/>
    <tableColumn id="4" xr3:uid="{7B85DE60-CF61-447C-B092-6B75C298481E}" name="Pajamos _x000a_(GBO)" totalsRowFunction="sum" dataDxfId="465" totalsRowDxfId="464"/>
    <tableColumn id="5" xr3:uid="{0C17CF96-9A7C-4534-B7AC-3B3C2D7E6736}" name="Pajamos _x000a_praeita sav._x000a_(GBO LW)" totalsRowLabel="228 671 €" dataDxfId="463" totalsRowDxfId="462"/>
    <tableColumn id="6" xr3:uid="{A33BE8D9-A164-40D5-A6F7-913113FD89AF}" name="Pakitimas_x000a_(Change)" totalsRowFunction="custom" dataDxfId="461" totalsRowDxfId="460">
      <calculatedColumnFormula>(D3-E3)/E3</calculatedColumnFormula>
      <totalsRowFormula>(D44-E44)/E44</totalsRowFormula>
    </tableColumn>
    <tableColumn id="7" xr3:uid="{471BA983-1E6E-44DC-A0B1-F3F9B288D021}" name="Žiūrovų sk. _x000a_(ADM)" totalsRowFunction="sum" dataDxfId="459" totalsRowDxfId="458"/>
    <tableColumn id="8" xr3:uid="{76CCA2CE-5DA0-4C24-B57B-185F8FDE55F8}" name="Seansų sk. _x000a_(Show count)" dataDxfId="457" totalsRowDxfId="456"/>
    <tableColumn id="9" xr3:uid="{75C7ECDE-13C0-418B-89D4-8BFE90B03760}" name="Lankomumo vid._x000a_(Average ADM)" dataDxfId="455" totalsRowDxfId="454">
      <calculatedColumnFormula>G3/H3</calculatedColumnFormula>
    </tableColumn>
    <tableColumn id="10" xr3:uid="{84816D16-DD88-40DF-9575-3A44A9C2D0E2}" name="Kopijų sk. _x000a_(DCO count)" dataDxfId="453" totalsRowDxfId="452"/>
    <tableColumn id="11" xr3:uid="{A1022A4B-354C-4670-9E92-8EF4C1E4DA70}" name="Rodymo savaitė_x000a_(Week on screen)" dataDxfId="451" totalsRowDxfId="450"/>
    <tableColumn id="12" xr3:uid="{7E805F3E-E4F1-47E6-B6F8-0A9F59EB5E25}" name="Bendros pajamos _x000a_(Total GBO)" dataDxfId="449" totalsRowDxfId="448"/>
    <tableColumn id="13" xr3:uid="{44D7CE20-3AF7-465A-91C1-8A3536F3C6DB}" name="Bendras žiūrovų sk._x000a_(Total ADM)" dataDxfId="447" totalsRowDxfId="446"/>
    <tableColumn id="14" xr3:uid="{123D6BCB-0F71-4ACF-AAD0-C167D73C7A06}" name="Premjeros data _x000a_(Release date)" dataDxfId="445" totalsRowDxfId="444"/>
    <tableColumn id="15" xr3:uid="{5FBC035B-DF92-4981-A2ED-C2519A3AADBC}" name="Platintojas _x000a_(Distributor)" dataDxfId="443" totalsRowDxfId="442"/>
    <tableColumn id="16" xr3:uid="{446B3A72-EC93-4067-9BF9-E2446986DC16}" name="Column2" dataDxfId="441" totalsRowDxfId="440"/>
  </tableColumns>
  <tableStyleInfo name="TableStyleLight18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F3ED041-C5E5-4F13-B191-F643DD0B150F}" name="Table13245678910111213" displayName="Table13245678910111213" ref="A2:P29" totalsRowCount="1" headerRowDxfId="439" dataDxfId="437" totalsRowDxfId="436" headerRowBorderDxfId="438">
  <sortState xmlns:xlrd2="http://schemas.microsoft.com/office/spreadsheetml/2017/richdata2" ref="A3:P28">
    <sortCondition descending="1" ref="D3:D28"/>
  </sortState>
  <tableColumns count="16">
    <tableColumn id="1" xr3:uid="{6C2FAE90-769F-4A4B-A9BB-7B1A858EE876}" name=" " dataDxfId="435" totalsRowDxfId="434"/>
    <tableColumn id="2" xr3:uid="{D555FA92-1836-4EE5-A1B1-93C53C5BC193}" name="Column1" totalsRowLabel=" " dataDxfId="433" totalsRowDxfId="432"/>
    <tableColumn id="3" xr3:uid="{48ADFB4B-59D0-441F-8232-F4C3B4EB023C}" name="Filmas _x000a_(Movie)" totalsRowLabel="Total (26)" dataDxfId="431" totalsRowDxfId="430"/>
    <tableColumn id="4" xr3:uid="{76BEDA65-E0C7-4912-924A-37E8C1C3F918}" name="Pajamos _x000a_(GBO)" totalsRowFunction="sum" dataDxfId="429" totalsRowDxfId="428"/>
    <tableColumn id="5" xr3:uid="{F3CD8270-78DE-4BFE-AA2E-F789DDEC7D8B}" name="Pajamos _x000a_praeita sav._x000a_(GBO LW)" totalsRowLabel="189 773 €" dataDxfId="427" totalsRowDxfId="426"/>
    <tableColumn id="6" xr3:uid="{987299DF-436B-44C7-9E51-752F42F3BD0C}" name="Pakitimas_x000a_(Change)" totalsRowFunction="custom" dataDxfId="425" totalsRowDxfId="424">
      <calculatedColumnFormula>(D3-E3)/E3</calculatedColumnFormula>
      <totalsRowFormula>(D29-E29)/E29</totalsRowFormula>
    </tableColumn>
    <tableColumn id="7" xr3:uid="{5CD7ADF4-7665-49E0-949E-F6E01D6B6F6C}" name="Žiūrovų sk. _x000a_(ADM)" totalsRowFunction="sum" dataDxfId="423" totalsRowDxfId="422"/>
    <tableColumn id="8" xr3:uid="{E3DFD736-4C3F-4DCA-8050-20E16350ADCB}" name="Seansų sk. _x000a_(Show count)" dataDxfId="421" totalsRowDxfId="420"/>
    <tableColumn id="9" xr3:uid="{B3D255E6-35EC-4642-ADD4-44F9C713550D}" name="Lankomumo vid._x000a_(Average ADM)" dataDxfId="419" totalsRowDxfId="418">
      <calculatedColumnFormula>G3/H3</calculatedColumnFormula>
    </tableColumn>
    <tableColumn id="10" xr3:uid="{636A9FED-0F9B-4DE7-9DF1-E91BEDC55DA8}" name="Kopijų sk. _x000a_(DCO count)" dataDxfId="417" totalsRowDxfId="416"/>
    <tableColumn id="11" xr3:uid="{0462F646-A028-43F2-B360-9D443BB87ED5}" name="Rodymo savaitė_x000a_(Week on screen)" dataDxfId="415" totalsRowDxfId="414"/>
    <tableColumn id="12" xr3:uid="{7219D54C-D3E8-4823-982F-BE1846720360}" name="Bendros pajamos _x000a_(Total GBO)" dataDxfId="413" totalsRowDxfId="412"/>
    <tableColumn id="13" xr3:uid="{9BBFCAA3-F4BC-4F9B-91A5-421C9C6E701D}" name="Bendras žiūrovų sk._x000a_(Total ADM)" dataDxfId="411" totalsRowDxfId="410"/>
    <tableColumn id="14" xr3:uid="{67876425-4C56-4FE3-80C9-EF0F172B886F}" name="Premjeros data _x000a_(Release date)" dataDxfId="409" totalsRowDxfId="408"/>
    <tableColumn id="15" xr3:uid="{8B6C22FC-B2AD-4EF9-A1BE-3265E443A7C9}" name="Platintojas _x000a_(Distributor)" dataDxfId="407" totalsRowDxfId="406"/>
    <tableColumn id="16" xr3:uid="{082D24CF-99FF-47F9-A346-ADB3D5370E41}" name="Column2" dataDxfId="405" totalsRowDxfId="404"/>
  </tableColumns>
  <tableStyleInfo name="TableStyleLight18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A375319-D8A7-4794-A7DD-7D9812C7F22A}" name="Table132456789101112" displayName="Table132456789101112" ref="A2:P33" totalsRowCount="1" headerRowDxfId="403" dataDxfId="401" totalsRowDxfId="400" headerRowBorderDxfId="402">
  <sortState xmlns:xlrd2="http://schemas.microsoft.com/office/spreadsheetml/2017/richdata2" ref="A3:P32">
    <sortCondition descending="1" ref="D3:D32"/>
  </sortState>
  <tableColumns count="16">
    <tableColumn id="1" xr3:uid="{72020223-96F5-4FBD-BE1B-13B836953C69}" name=" " totalsRowLabel=" " dataDxfId="399" totalsRowDxfId="398"/>
    <tableColumn id="2" xr3:uid="{669FFBE8-A408-43A4-A46E-2F51F03DEF69}" name="Column1" totalsRowLabel=" " dataDxfId="397" totalsRowDxfId="396"/>
    <tableColumn id="3" xr3:uid="{24465742-3CAF-4B03-9845-D89A99305C4F}" name="Filmas _x000a_(Movie)" totalsRowLabel="Total (30)" dataDxfId="395" totalsRowDxfId="394"/>
    <tableColumn id="4" xr3:uid="{867F1DD7-5FD4-4A24-959B-A4C32CD04A9B}" name="Pajamos _x000a_(GBO)" totalsRowFunction="sum" dataDxfId="393" totalsRowDxfId="392"/>
    <tableColumn id="5" xr3:uid="{25E895F6-9C51-4073-998F-2683DD01D90D}" name="Pajamos _x000a_praeita sav._x000a_(GBO LW)" totalsRowLabel="368 854 €" dataDxfId="391" totalsRowDxfId="390"/>
    <tableColumn id="6" xr3:uid="{B6D90FD2-8A78-47AA-84B3-294881DC2D9F}" name="Pakitimas_x000a_(Change)" totalsRowFunction="custom" dataDxfId="389" totalsRowDxfId="388">
      <calculatedColumnFormula>(D3-E3)/E3</calculatedColumnFormula>
      <totalsRowFormula>(D33-E33)/E33</totalsRowFormula>
    </tableColumn>
    <tableColumn id="7" xr3:uid="{D83870F0-C32A-48FB-B528-E47D3BD350A4}" name="Žiūrovų sk. _x000a_(ADM)" totalsRowFunction="sum" dataDxfId="387" totalsRowDxfId="386"/>
    <tableColumn id="8" xr3:uid="{B2F58624-D2F2-444D-A30A-C3FFC2FE94E2}" name="Seansų sk. _x000a_(Show count)" dataDxfId="385" totalsRowDxfId="384"/>
    <tableColumn id="9" xr3:uid="{D1440936-0986-474C-B526-339DFED95050}" name="Lankomumo vid._x000a_(Average ADM)" dataDxfId="383" totalsRowDxfId="382">
      <calculatedColumnFormula>G3/H3</calculatedColumnFormula>
    </tableColumn>
    <tableColumn id="10" xr3:uid="{5AC40BB4-6790-40CA-9A34-62DE710770A9}" name="Kopijų sk. _x000a_(DCO count)" dataDxfId="381" totalsRowDxfId="380"/>
    <tableColumn id="11" xr3:uid="{7CF437DF-CBA6-424D-8E2A-CA2380A654AE}" name="Rodymo savaitė_x000a_(Week on screen)" dataDxfId="379" totalsRowDxfId="378"/>
    <tableColumn id="12" xr3:uid="{E40EAD4A-8FA2-4584-93A4-B24C40585A64}" name="Bendros pajamos _x000a_(Total GBO)" dataDxfId="377" totalsRowDxfId="376"/>
    <tableColumn id="13" xr3:uid="{CD0802C4-984E-496C-BA4E-FB1BC7E4779A}" name="Bendras žiūrovų sk._x000a_(Total ADM)" dataDxfId="375" totalsRowDxfId="374"/>
    <tableColumn id="14" xr3:uid="{3471E231-07BD-4854-AC15-35D02E9B7E43}" name="Premjeros data _x000a_(Release date)" dataDxfId="373" totalsRowDxfId="372"/>
    <tableColumn id="15" xr3:uid="{68BC8D51-5A83-489D-BEA4-A971187C3346}" name="Platintojas _x000a_(Distributor)" dataDxfId="371" totalsRowDxfId="370"/>
    <tableColumn id="16" xr3:uid="{E4A90A47-7FBD-4F80-9BC8-5731F0ACC03D}" name="Column2" dataDxfId="369" totalsRowDxfId="368"/>
  </tableColumns>
  <tableStyleInfo name="TableStyleLight18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90ED966-EA66-4960-B06E-9D613639ECFF}" name="Table1324567891011" displayName="Table1324567891011" ref="A2:P31" totalsRowCount="1" headerRowDxfId="367" dataDxfId="365" totalsRowDxfId="364" headerRowBorderDxfId="366">
  <sortState xmlns:xlrd2="http://schemas.microsoft.com/office/spreadsheetml/2017/richdata2" ref="A3:P30">
    <sortCondition descending="1" ref="D3:D30"/>
  </sortState>
  <tableColumns count="16">
    <tableColumn id="1" xr3:uid="{EB765523-5810-4D64-A7E3-FF2B3F8053FF}" name=" " totalsRowLabel=" " dataDxfId="363" totalsRowDxfId="362"/>
    <tableColumn id="2" xr3:uid="{17CB4597-CD85-4428-8DAF-461C35604F37}" name="Column1" totalsRowLabel=" " dataDxfId="361" totalsRowDxfId="360"/>
    <tableColumn id="3" xr3:uid="{5D93AED0-CD85-4197-9E5F-2A3B369EB3F8}" name="Filmas _x000a_(Movie)" totalsRowLabel="Total (28)" dataDxfId="359" totalsRowDxfId="358"/>
    <tableColumn id="4" xr3:uid="{A75BE335-CE00-4C9D-AB86-E76F28B659AA}" name="Pajamos _x000a_(GBO)" totalsRowFunction="sum" dataDxfId="357" totalsRowDxfId="356"/>
    <tableColumn id="5" xr3:uid="{A6F8AFFD-E0EF-4A2E-826B-AAAAEF4FCDB9}" name="Pajamos _x000a_praeita sav._x000a_(GBO LW)" totalsRowLabel="423 904 €" dataDxfId="355" totalsRowDxfId="354"/>
    <tableColumn id="6" xr3:uid="{EF391CC7-68AB-4912-9D95-F972F18BB6D1}" name="Pakitimas_x000a_(Change)" totalsRowFunction="custom" dataDxfId="353" totalsRowDxfId="352">
      <calculatedColumnFormula>(D3-E3)/E3</calculatedColumnFormula>
      <totalsRowFormula>(D31-E31)/E31</totalsRowFormula>
    </tableColumn>
    <tableColumn id="7" xr3:uid="{98A465A1-A65F-424F-8788-7606BD6D409B}" name="Žiūrovų sk. _x000a_(ADM)" totalsRowFunction="sum" dataDxfId="351" totalsRowDxfId="350"/>
    <tableColumn id="8" xr3:uid="{FFD7A2CB-7B04-4525-8BC8-FC4F331C5A50}" name="Seansų sk. _x000a_(Show count)" dataDxfId="349" totalsRowDxfId="348"/>
    <tableColumn id="9" xr3:uid="{DEED6F37-B1CF-4A6F-A3B5-6A27859967EA}" name="Lankomumo vid._x000a_(Average ADM)" dataDxfId="347" totalsRowDxfId="346">
      <calculatedColumnFormula>G3/H3</calculatedColumnFormula>
    </tableColumn>
    <tableColumn id="10" xr3:uid="{3C79ADF3-8B05-4003-B7D0-9C616FAF0312}" name="Kopijų sk. _x000a_(DCO count)" dataDxfId="345" totalsRowDxfId="344"/>
    <tableColumn id="11" xr3:uid="{F5A5DA79-8EAE-41B1-BEAE-231997F96935}" name="Rodymo savaitė_x000a_(Week on screen)" dataDxfId="343" totalsRowDxfId="342"/>
    <tableColumn id="12" xr3:uid="{78A627F1-990E-4CFB-B51D-862C85795A42}" name="Bendros pajamos _x000a_(Total GBO)" dataDxfId="341" totalsRowDxfId="340"/>
    <tableColumn id="13" xr3:uid="{30F5F630-A784-477C-8E2E-3E4798CAE573}" name="Bendras žiūrovų sk._x000a_(Total ADM)" dataDxfId="339" totalsRowDxfId="338"/>
    <tableColumn id="14" xr3:uid="{06A42347-EC99-4778-860C-4225D2F1EE9F}" name="Premjeros data _x000a_(Release date)" dataDxfId="337" totalsRowDxfId="336"/>
    <tableColumn id="15" xr3:uid="{BEC69972-9E5D-4E42-9D67-5633510E5F06}" name="Platintojas _x000a_(Distributor)" dataDxfId="335" totalsRowDxfId="334"/>
    <tableColumn id="16" xr3:uid="{5395F72C-0D6E-476C-AFEF-9A7FA6286347}" name="Column2" dataDxfId="333" totalsRowDxfId="332"/>
  </tableColumns>
  <tableStyleInfo name="TableStyleLight18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3F7D81C-D539-4047-8806-55CCD3B3E0A3}" name="Table13245678910" displayName="Table13245678910" ref="A2:P40" totalsRowCount="1" headerRowDxfId="331" dataDxfId="329" totalsRowDxfId="328" headerRowBorderDxfId="330">
  <sortState xmlns:xlrd2="http://schemas.microsoft.com/office/spreadsheetml/2017/richdata2" ref="A3:P39">
    <sortCondition descending="1" ref="D3:D39"/>
  </sortState>
  <tableColumns count="16">
    <tableColumn id="1" xr3:uid="{42C78EF5-499D-452E-B70B-A22FE7624548}" name=" " totalsRowLabel=" " dataDxfId="327" totalsRowDxfId="326"/>
    <tableColumn id="2" xr3:uid="{62DF118F-96DD-4586-AFF0-E8DAFCBEFB6C}" name="Column1" totalsRowLabel=" " dataDxfId="325" totalsRowDxfId="324"/>
    <tableColumn id="3" xr3:uid="{6751EF4C-2FBC-4ADB-BFF1-C95DD76BE64F}" name="Filmas _x000a_(Movie)" totalsRowLabel="Total (37)" dataDxfId="323" totalsRowDxfId="322"/>
    <tableColumn id="4" xr3:uid="{5E728508-C875-4AB8-B826-D9A7AF46FF63}" name="Pajamos _x000a_(GBO)" totalsRowFunction="sum" dataDxfId="321" totalsRowDxfId="320"/>
    <tableColumn id="5" xr3:uid="{4E06A861-1193-4291-97A4-6B9D0855D7F7}" name="Pajamos _x000a_praeita sav._x000a_(GBO LW)" totalsRowLabel="556 512 €" dataDxfId="319" totalsRowDxfId="318"/>
    <tableColumn id="6" xr3:uid="{023F0E36-247A-4E80-AE80-842917E7DA1F}" name="Pakitimas_x000a_(Change)" totalsRowFunction="custom" dataDxfId="317" totalsRowDxfId="316">
      <calculatedColumnFormula>(D3-E3)/E3</calculatedColumnFormula>
      <totalsRowFormula>(D40-E40)/E40</totalsRowFormula>
    </tableColumn>
    <tableColumn id="7" xr3:uid="{734553F4-28D6-451C-9B74-5F7463C8A5E8}" name="Žiūrovų sk. _x000a_(ADM)" totalsRowFunction="sum" dataDxfId="315" totalsRowDxfId="314"/>
    <tableColumn id="8" xr3:uid="{17B23BC2-5A97-4CB1-883A-D19895B938E5}" name="Seansų sk. _x000a_(Show count)" dataDxfId="313" totalsRowDxfId="312"/>
    <tableColumn id="9" xr3:uid="{831DA1E2-5BFD-4D9F-8582-0653EF3F0ED6}" name="Lankomumo vid._x000a_(Average ADM)" dataDxfId="311" totalsRowDxfId="310">
      <calculatedColumnFormula>G3/H3</calculatedColumnFormula>
    </tableColumn>
    <tableColumn id="10" xr3:uid="{31BFA3E0-E06B-450A-BF64-850D85E1DA13}" name="Kopijų sk. _x000a_(DCO count)" dataDxfId="309" totalsRowDxfId="308"/>
    <tableColumn id="11" xr3:uid="{D04C07F5-BD2F-49A5-B05B-B07D5765019F}" name="Rodymo savaitė_x000a_(Week on screen)" dataDxfId="307" totalsRowDxfId="306"/>
    <tableColumn id="12" xr3:uid="{6AF5AEEE-5AE8-457D-9699-7059C6F809D4}" name="Bendros pajamos _x000a_(Total GBO)" dataDxfId="305" totalsRowDxfId="304"/>
    <tableColumn id="13" xr3:uid="{2987D91C-4F2C-4596-A4CC-C06547FF1F2C}" name="Bendras žiūrovų sk._x000a_(Total ADM)" dataDxfId="303" totalsRowDxfId="302"/>
    <tableColumn id="14" xr3:uid="{B334517B-1411-4DFD-B411-A5A408B6CC77}" name="Premjeros data _x000a_(Release date)" dataDxfId="301" totalsRowDxfId="300"/>
    <tableColumn id="15" xr3:uid="{42044D63-AF32-4331-9D8B-D43518BC0A78}" name="Platintojas _x000a_(Distributor)" dataDxfId="299" totalsRowDxfId="298"/>
    <tableColumn id="16" xr3:uid="{660578A7-FA28-4120-85A6-ED1C22A5B07D}" name="Column2" dataDxfId="297" totalsRowDxfId="296"/>
  </tableColumns>
  <tableStyleInfo name="TableStyleLight18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ED6F229-BBF8-4D39-9ECC-EC2CD454A070}" name="Table132456789" displayName="Table132456789" ref="A2:P41" totalsRowCount="1" headerRowDxfId="295" dataDxfId="293" totalsRowDxfId="292" headerRowBorderDxfId="294">
  <sortState xmlns:xlrd2="http://schemas.microsoft.com/office/spreadsheetml/2017/richdata2" ref="A3:P40">
    <sortCondition descending="1" ref="D3:D40"/>
  </sortState>
  <tableColumns count="16">
    <tableColumn id="1" xr3:uid="{8FB99DAD-4B25-44EB-B981-70F0231AFB4B}" name=" " totalsRowLabel=" " dataDxfId="291" totalsRowDxfId="290"/>
    <tableColumn id="2" xr3:uid="{3E624913-5AB1-4A55-97FB-E955789F1D38}" name="Column1" totalsRowLabel=" " dataDxfId="289" totalsRowDxfId="288"/>
    <tableColumn id="3" xr3:uid="{0F0DBA43-7954-4783-8078-957F35C2B4C5}" name="Filmas _x000a_(Movie)" totalsRowLabel="Total (38)" dataDxfId="287" totalsRowDxfId="286"/>
    <tableColumn id="4" xr3:uid="{A083533B-984D-4288-8893-EA14DC68C617}" name="Pajamos _x000a_(GBO)" totalsRowFunction="sum" dataDxfId="285" totalsRowDxfId="284"/>
    <tableColumn id="5" xr3:uid="{0419F89B-C962-4692-96EF-20F5167199DB}" name="Pajamos _x000a_praeita sav._x000a_(GBO LW)" totalsRowLabel="651 911 €" dataDxfId="283" totalsRowDxfId="282"/>
    <tableColumn id="6" xr3:uid="{95B00CF6-3C68-46FB-9BE9-0533FBD5C2B5}" name="Pakitimas_x000a_(Change)" totalsRowFunction="custom" dataDxfId="281" totalsRowDxfId="280">
      <calculatedColumnFormula>(D3-E3)/E3</calculatedColumnFormula>
      <totalsRowFormula>(D41-E41)/E41</totalsRowFormula>
    </tableColumn>
    <tableColumn id="7" xr3:uid="{E1A19FD7-9698-4C47-B4A3-558AA73C8EB4}" name="Žiūrovų sk. _x000a_(ADM)" totalsRowFunction="sum" dataDxfId="279" totalsRowDxfId="278"/>
    <tableColumn id="8" xr3:uid="{80F82CB1-B3CA-4A98-B251-3D0508C5B7EE}" name="Seansų sk. _x000a_(Show count)" dataDxfId="277" totalsRowDxfId="276"/>
    <tableColumn id="9" xr3:uid="{1FEE026E-957A-4EA5-8CEA-079A1F2E4C98}" name="Lankomumo vid._x000a_(Average ADM)" dataDxfId="275" totalsRowDxfId="274">
      <calculatedColumnFormula>G3/H3</calculatedColumnFormula>
    </tableColumn>
    <tableColumn id="10" xr3:uid="{529EC3BA-C5F8-4A88-9733-F396E869738F}" name="Kopijų sk. _x000a_(DCO count)" dataDxfId="273" totalsRowDxfId="272"/>
    <tableColumn id="11" xr3:uid="{5E4ADE9A-D71A-4531-B3A5-C917BD7E5EB2}" name="Rodymo savaitė_x000a_(Week on screen)" dataDxfId="271" totalsRowDxfId="270"/>
    <tableColumn id="12" xr3:uid="{6B27D6AA-11F0-426D-BC97-4F2FE1B314B8}" name="Bendros pajamos _x000a_(Total GBO)" dataDxfId="269" totalsRowDxfId="268"/>
    <tableColumn id="13" xr3:uid="{3867622D-B3A3-42A1-8D09-49026A85A0BD}" name="Bendras žiūrovų sk._x000a_(Total ADM)" dataDxfId="267" totalsRowDxfId="266"/>
    <tableColumn id="14" xr3:uid="{F0A6C58C-5E34-46FD-A014-431047D74406}" name="Premjeros data _x000a_(Release date)" dataDxfId="265" totalsRowDxfId="264"/>
    <tableColumn id="15" xr3:uid="{2584C323-305A-43CE-BA2E-D41756C09AFE}" name="Platintojas _x000a_(Distributor)" dataDxfId="263" totalsRowDxfId="262"/>
    <tableColumn id="16" xr3:uid="{B00B0E5E-EEC9-4DDB-85FC-A47DF859DB9B}" name="Column2" dataDxfId="261" totalsRowDxfId="260"/>
  </tableColumns>
  <tableStyleInfo name="TableStyleLight18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27ED6E8-4CC4-4D98-B575-21F9CA303C80}" name="Table13245678" displayName="Table13245678" ref="A2:P40" totalsRowCount="1" headerRowDxfId="259" dataDxfId="257" totalsRowDxfId="256" headerRowBorderDxfId="258">
  <sortState xmlns:xlrd2="http://schemas.microsoft.com/office/spreadsheetml/2017/richdata2" ref="A3:P39">
    <sortCondition descending="1" ref="D3:D39"/>
  </sortState>
  <tableColumns count="16">
    <tableColumn id="1" xr3:uid="{6476B658-F9E9-42AE-AEDE-EF6EC5129EF9}" name=" " totalsRowLabel=" " dataDxfId="255" totalsRowDxfId="254"/>
    <tableColumn id="2" xr3:uid="{3D94EB17-AD02-4473-8EF1-63669358A7BA}" name="Column1" totalsRowLabel=" " dataDxfId="253" totalsRowDxfId="252"/>
    <tableColumn id="3" xr3:uid="{E4DF1D8C-9070-43EB-AED1-A0CC89595A37}" name="Filmas _x000a_(Movie)" totalsRowLabel="Total (37)" dataDxfId="251" totalsRowDxfId="250"/>
    <tableColumn id="4" xr3:uid="{53CED8BC-F537-46D8-B641-BF8DC748DEF6}" name="Pajamos _x000a_(GBO)" totalsRowFunction="sum" dataDxfId="249" totalsRowDxfId="248"/>
    <tableColumn id="5" xr3:uid="{2AF2E950-92AA-4417-B2D7-B7135AB65BD1}" name="Pajamos _x000a_praeita sav._x000a_(GBO LW)" totalsRowLabel="371 891 €" dataDxfId="247" totalsRowDxfId="246"/>
    <tableColumn id="6" xr3:uid="{FD4D3506-30CA-420C-80D9-5831D2F899E3}" name="Pakitimas_x000a_(Change)" totalsRowFunction="custom" dataDxfId="245" totalsRowDxfId="244">
      <calculatedColumnFormula>(D3-E3)/E3</calculatedColumnFormula>
      <totalsRowFormula>(D40-E40)/E40</totalsRowFormula>
    </tableColumn>
    <tableColumn id="7" xr3:uid="{5A710160-C2BB-45D5-ACE3-D7E964A1BEAA}" name="Žiūrovų sk. _x000a_(ADM)" totalsRowFunction="sum" dataDxfId="243" totalsRowDxfId="242"/>
    <tableColumn id="8" xr3:uid="{441BB2C9-71FA-4E92-896A-FCF49C87834A}" name="Seansų sk. _x000a_(Show count)" dataDxfId="241" totalsRowDxfId="240"/>
    <tableColumn id="9" xr3:uid="{FB18217A-8FF6-4483-817B-5A53D4105EAA}" name="Lankomumo vid._x000a_(Average ADM)" dataDxfId="239" totalsRowDxfId="238">
      <calculatedColumnFormula>G3/H3</calculatedColumnFormula>
    </tableColumn>
    <tableColumn id="10" xr3:uid="{61A4D9DA-12D8-43C1-B7F4-9DCE512C8A28}" name="Kopijų sk. _x000a_(DCO count)" dataDxfId="237" totalsRowDxfId="236"/>
    <tableColumn id="11" xr3:uid="{66D6009F-5BE8-4D22-8FA5-2467CF9A6F55}" name="Rodymo savaitė_x000a_(Week on screen)" dataDxfId="235" totalsRowDxfId="234"/>
    <tableColumn id="12" xr3:uid="{6CC19418-F0E9-41E5-84C0-54FE5BF6F9DE}" name="Bendros pajamos _x000a_(Total GBO)" dataDxfId="233" totalsRowDxfId="232"/>
    <tableColumn id="13" xr3:uid="{7FA62B3E-2102-4388-A9AA-E460B81DF9EA}" name="Bendras žiūrovų sk._x000a_(Total ADM)" dataDxfId="231" totalsRowDxfId="230"/>
    <tableColumn id="14" xr3:uid="{A0804E31-DE1D-49ED-8A67-19C39A80692E}" name="Premjeros data _x000a_(Release date)" dataDxfId="229" totalsRowDxfId="228"/>
    <tableColumn id="15" xr3:uid="{43B94858-E213-4DA9-B8A6-D7DA223E5586}" name="Platintojas _x000a_(Distributor)" dataDxfId="227" totalsRowDxfId="226"/>
    <tableColumn id="16" xr3:uid="{03549490-C234-4C89-9DB6-06E969D1E67C}" name="Column2" dataDxfId="225" totalsRowDxfId="224"/>
  </tableColumns>
  <tableStyleInfo name="TableStyleLight18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FF34D64-E19D-492B-9F96-F5BED9DE41ED}" name="Table1324567" displayName="Table1324567" ref="A2:P30" totalsRowCount="1" headerRowDxfId="223" dataDxfId="221" totalsRowDxfId="220" headerRowBorderDxfId="222">
  <autoFilter ref="A2:P29" xr:uid="{2FF34D64-E19D-492B-9F96-F5BED9DE41ED}"/>
  <sortState xmlns:xlrd2="http://schemas.microsoft.com/office/spreadsheetml/2017/richdata2" ref="A3:P29">
    <sortCondition descending="1" ref="D3:D29"/>
  </sortState>
  <tableColumns count="16">
    <tableColumn id="1" xr3:uid="{08E2FC44-4373-4AA5-9B12-219B66A99C83}" name=" " totalsRowLabel=" " dataDxfId="219" totalsRowDxfId="218"/>
    <tableColumn id="2" xr3:uid="{7EA3606A-8EA2-4234-AF98-48A13FDD9818}" name="Column1" totalsRowLabel=" " dataDxfId="217" totalsRowDxfId="216"/>
    <tableColumn id="3" xr3:uid="{0DC473D1-9C88-4AC2-A06A-5FA57AE0DA52}" name="Filmas _x000a_(Movie)" totalsRowLabel="Total (27)" dataDxfId="215" totalsRowDxfId="214"/>
    <tableColumn id="4" xr3:uid="{60FA3212-AD88-4FD9-B052-6447B602A6EC}" name="Pajamos _x000a_(GBO)" totalsRowFunction="sum" dataDxfId="213" totalsRowDxfId="212"/>
    <tableColumn id="5" xr3:uid="{3C6850D3-63F7-44D3-9D94-0DF70DF2C83D}" name="Pajamos _x000a_praeita sav._x000a_(GBO LW)" totalsRowLabel="413 823 €" dataDxfId="211" totalsRowDxfId="210"/>
    <tableColumn id="6" xr3:uid="{44D0F9E1-52FE-4D8B-930C-64FEEC0F4EDF}" name="Pakitimas_x000a_(Change)" totalsRowFunction="custom" dataDxfId="209" totalsRowDxfId="208">
      <calculatedColumnFormula>(D3-E3)/E3</calculatedColumnFormula>
      <totalsRowFormula>(D30-E30)/E30</totalsRowFormula>
    </tableColumn>
    <tableColumn id="7" xr3:uid="{57DEDCD0-DA85-415E-82D7-5D591EEFFAF9}" name="Žiūrovų sk. _x000a_(ADM)" totalsRowFunction="sum" dataDxfId="207" totalsRowDxfId="206"/>
    <tableColumn id="8" xr3:uid="{05976F60-332A-433D-995F-74A94113BEA4}" name="Seansų sk. _x000a_(Show count)" dataDxfId="205" totalsRowDxfId="204"/>
    <tableColumn id="9" xr3:uid="{0A01E5B4-74A0-4C65-B635-0363F88D3A88}" name="Lankomumo vid._x000a_(Average ADM)" dataDxfId="203" totalsRowDxfId="202">
      <calculatedColumnFormula>G3/H3</calculatedColumnFormula>
    </tableColumn>
    <tableColumn id="10" xr3:uid="{937A1723-2CB1-4643-A587-10ECD1583AE6}" name="Kopijų sk. _x000a_(DCO count)" dataDxfId="201" totalsRowDxfId="200"/>
    <tableColumn id="11" xr3:uid="{5B1D1CCC-DB09-49E9-9F80-72143807E6F9}" name="Rodymo savaitė_x000a_(Week on screen)" dataDxfId="199" totalsRowDxfId="198"/>
    <tableColumn id="12" xr3:uid="{84C85CA9-972A-4429-AF4F-43F164C82EBF}" name="Bendros pajamos _x000a_(Total GBO)" dataDxfId="197" totalsRowDxfId="196"/>
    <tableColumn id="13" xr3:uid="{BFFD566E-BDC6-4875-8328-E82BC3BFB124}" name="Bendras žiūrovų sk._x000a_(Total ADM)" dataDxfId="195" totalsRowDxfId="194"/>
    <tableColumn id="14" xr3:uid="{1936CAFF-8E6C-4065-BD4D-8F51B7683483}" name="Premjeros data _x000a_(Release date)" dataDxfId="193" totalsRowDxfId="192"/>
    <tableColumn id="15" xr3:uid="{A5179DEC-40BD-4863-8562-835427ACBA63}" name="Platintojas _x000a_(Distributor)" dataDxfId="191" totalsRowDxfId="190"/>
    <tableColumn id="16" xr3:uid="{4BBC15CA-5844-493F-AE4A-02C5AA11A51A}" name="Column2" dataDxfId="189" totalsRowDxfId="188"/>
  </tableColumns>
  <tableStyleInfo name="TableStyleLight18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62A9F06-90BD-429B-B24E-D91488D35DE9}" name="Table132456" displayName="Table132456" ref="A2:P32" totalsRowCount="1" headerRowDxfId="187" dataDxfId="185" totalsRowDxfId="184" headerRowBorderDxfId="186">
  <sortState xmlns:xlrd2="http://schemas.microsoft.com/office/spreadsheetml/2017/richdata2" ref="A3:P31">
    <sortCondition descending="1" ref="D3:D31"/>
  </sortState>
  <tableColumns count="16">
    <tableColumn id="1" xr3:uid="{11CA6093-EAA5-47C1-8763-9825D45EE6D4}" name=" " totalsRowLabel=" " dataDxfId="183" totalsRowDxfId="182"/>
    <tableColumn id="2" xr3:uid="{670F8F3A-9F15-4CAA-8C51-9CD4917DC3F6}" name="Column1" totalsRowLabel=" " dataDxfId="181" totalsRowDxfId="180"/>
    <tableColumn id="3" xr3:uid="{7A662A1F-9D45-4052-92AD-42EA8301D45F}" name="Filmas _x000a_(Movie)" totalsRowLabel="Total (29)" dataDxfId="179" totalsRowDxfId="178"/>
    <tableColumn id="4" xr3:uid="{2A53FAE9-E0AF-435F-97EA-CE6260D51466}" name="Pajamos _x000a_(GBO)" totalsRowFunction="sum" dataDxfId="177" totalsRowDxfId="176"/>
    <tableColumn id="5" xr3:uid="{4C735B28-A478-4C80-969D-A0940EA994BF}" name="Pajamos _x000a_praeita sav._x000a_(GBO LW)" totalsRowLabel="510 708 €" dataDxfId="175" totalsRowDxfId="174"/>
    <tableColumn id="6" xr3:uid="{C1E1AF20-2F7A-4723-8A12-F83A10CBCBEE}" name="Pakitimas_x000a_(Change)" totalsRowFunction="custom" dataDxfId="173" totalsRowDxfId="172">
      <calculatedColumnFormula>(D3-E3)/E3</calculatedColumnFormula>
      <totalsRowFormula>(D32-E32)/E32</totalsRowFormula>
    </tableColumn>
    <tableColumn id="7" xr3:uid="{BEA09C8A-9BD5-43BF-9AED-E2D771803A82}" name="Žiūrovų sk. _x000a_(ADM)" totalsRowFunction="sum" dataDxfId="171" totalsRowDxfId="170"/>
    <tableColumn id="8" xr3:uid="{D51207B5-8D23-4619-BCAB-96531E0B4A35}" name="Seansų sk. _x000a_(Show count)" dataDxfId="169" totalsRowDxfId="168"/>
    <tableColumn id="9" xr3:uid="{01B34424-ACC6-4584-879B-30AD02FFF7B6}" name="Lankomumo vid._x000a_(Average ADM)" dataDxfId="167" totalsRowDxfId="166">
      <calculatedColumnFormula>G3/H3</calculatedColumnFormula>
    </tableColumn>
    <tableColumn id="10" xr3:uid="{CCAC6F5E-D65C-4864-AFE5-6DF0A696EDBB}" name="Kopijų sk. _x000a_(DCO count)" dataDxfId="165" totalsRowDxfId="164"/>
    <tableColumn id="11" xr3:uid="{64461070-340D-4318-8D18-06B3BCA18055}" name="Rodymo savaitė_x000a_(Week on screen)" dataDxfId="163" totalsRowDxfId="162"/>
    <tableColumn id="12" xr3:uid="{88960851-BD59-4EA5-B21B-00CE3E82019C}" name="Bendros pajamos _x000a_(Total GBO)" dataDxfId="161" totalsRowDxfId="160"/>
    <tableColumn id="13" xr3:uid="{D6E947A8-3CDB-4F4D-ABFD-F2969EB6BBEB}" name="Bendras žiūrovų sk._x000a_(Total ADM)" dataDxfId="159" totalsRowDxfId="158"/>
    <tableColumn id="14" xr3:uid="{A614BA7A-66A4-40FB-A5C6-D60DD70D48FF}" name="Premjeros data _x000a_(Release date)" dataDxfId="157" totalsRowDxfId="156"/>
    <tableColumn id="15" xr3:uid="{267619E7-2D40-4CB5-BD59-F85254FBA569}" name="Platintojas _x000a_(Distributor)" dataDxfId="155" totalsRowDxfId="154"/>
    <tableColumn id="16" xr3:uid="{015D2754-45C0-437F-A8FA-0D99E6D5A1A9}" name="Column2" dataDxfId="153" totalsRowDxfId="152"/>
  </tableColumns>
  <tableStyleInfo name="TableStyleLight18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118F6EB-C2E7-4F3A-9D3D-DF275113A632}" name="Table13245" displayName="Table13245" ref="A2:O33" totalsRowCount="1" headerRowDxfId="151" dataDxfId="149" totalsRowDxfId="148" headerRowBorderDxfId="150">
  <autoFilter ref="A2:O32" xr:uid="{7118F6EB-C2E7-4F3A-9D3D-DF275113A632}"/>
  <sortState xmlns:xlrd2="http://schemas.microsoft.com/office/spreadsheetml/2017/richdata2" ref="A3:O32">
    <sortCondition descending="1" ref="D3:D32"/>
  </sortState>
  <tableColumns count="15">
    <tableColumn id="1" xr3:uid="{4C11B316-EE23-4A9A-BC81-10CCF1802838}" name=" " totalsRowLabel=" " dataDxfId="147" totalsRowDxfId="146"/>
    <tableColumn id="2" xr3:uid="{A6A0829B-C2C3-410A-8D30-ECC8F12F62BA}" name="Column1" totalsRowLabel=" " dataDxfId="145" totalsRowDxfId="144"/>
    <tableColumn id="3" xr3:uid="{1C2479F4-9502-4C1C-8D7D-8EB1FF803DA6}" name="Filmas _x000a_(Movie)" totalsRowLabel="Total (30)" dataDxfId="143" totalsRowDxfId="142"/>
    <tableColumn id="4" xr3:uid="{CC23B24E-95DA-442F-BEBB-CD302CD1E501}" name="Pajamos _x000a_(GBO)" totalsRowFunction="sum" dataDxfId="141" totalsRowDxfId="140"/>
    <tableColumn id="5" xr3:uid="{5945675A-09F8-4448-8AA2-744AA000704D}" name="Pajamos _x000a_praeita sav._x000a_(GBO LW)" totalsRowLabel="497 553 €" dataDxfId="139" totalsRowDxfId="138"/>
    <tableColumn id="6" xr3:uid="{CFBF0124-20E9-4252-8E4F-174E40418198}" name="Pakitimas_x000a_(Change)" totalsRowFunction="custom" dataDxfId="137" totalsRowDxfId="136">
      <calculatedColumnFormula>(D3-E3)/E3</calculatedColumnFormula>
      <totalsRowFormula>(D33-E33)/E33</totalsRowFormula>
    </tableColumn>
    <tableColumn id="7" xr3:uid="{5B9E7E8F-490C-4650-98C1-6C247AEA5BFB}" name="Žiūrovų sk. _x000a_(ADM)" totalsRowFunction="sum" dataDxfId="135" totalsRowDxfId="134"/>
    <tableColumn id="8" xr3:uid="{0D512783-A48C-4B80-B2E5-5937C175027D}" name="Seansų sk. _x000a_(Show count)" totalsRowLabel=" " dataDxfId="133" totalsRowDxfId="132"/>
    <tableColumn id="9" xr3:uid="{0C8C35EC-C687-421A-806D-8094DE64CFBA}" name="Lankomumo vid._x000a_(Average ADM)" dataDxfId="131" totalsRowDxfId="130">
      <calculatedColumnFormula>G3/H3</calculatedColumnFormula>
    </tableColumn>
    <tableColumn id="10" xr3:uid="{B38834E2-870A-4141-8842-924E8D1001A2}" name="Kopijų sk. _x000a_(DCO count)" dataDxfId="129" totalsRowDxfId="128"/>
    <tableColumn id="11" xr3:uid="{D894273C-5369-423B-A859-34A4D4563830}" name="Rodymo savaitė_x000a_(Week on screen)" dataDxfId="127" totalsRowDxfId="126"/>
    <tableColumn id="12" xr3:uid="{F0C7DF65-CE91-421F-8D7A-54C0D4291639}" name="Bendros pajamos _x000a_(Total GBO)" dataDxfId="125" totalsRowDxfId="124"/>
    <tableColumn id="13" xr3:uid="{1FED6299-3345-4524-8A14-AFF1C1FE07ED}" name="Bendras žiūrovų sk._x000a_(Total ADM)" dataDxfId="123" totalsRowDxfId="122"/>
    <tableColumn id="14" xr3:uid="{213D839C-3B7C-4D94-BA8E-196CDCB06BAE}" name="Premjeros data _x000a_(Release date)" dataDxfId="121" totalsRowDxfId="120"/>
    <tableColumn id="15" xr3:uid="{7D56F498-CEBE-4CBF-B043-95EF592F7C6D}" name="Platintojas _x000a_(Distributor)" dataDxfId="119" totalsRowDxfId="118"/>
  </tableColumns>
  <tableStyleInfo name="TableStyleLight18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4D35EE4-ACC8-40A9-8BD2-2C3D4951F159}" name="Table1324" displayName="Table1324" ref="A2:O34" totalsRowCount="1" headerRowDxfId="117" dataDxfId="115" totalsRowDxfId="114" headerRowBorderDxfId="116">
  <sortState xmlns:xlrd2="http://schemas.microsoft.com/office/spreadsheetml/2017/richdata2" ref="A3:O33">
    <sortCondition descending="1" ref="D3:D33"/>
  </sortState>
  <tableColumns count="15">
    <tableColumn id="1" xr3:uid="{6AB28681-515F-4A5E-8E62-883538D2F799}" name=" " totalsRowLabel=" " dataDxfId="113" totalsRowDxfId="112"/>
    <tableColumn id="2" xr3:uid="{EBEBD677-BC72-4F41-B49E-0B73E6A4A891}" name="Column1" totalsRowLabel=" " dataDxfId="111" totalsRowDxfId="110"/>
    <tableColumn id="3" xr3:uid="{29FB5FD5-7F56-41C0-AA92-56EEDFAA7C51}" name="Filmas _x000a_(Movie)" totalsRowLabel="Total (31)" dataDxfId="109" totalsRowDxfId="108"/>
    <tableColumn id="4" xr3:uid="{13998B70-D435-446F-A313-6F15864C1C9C}" name="Pajamos _x000a_(GBO)" totalsRowFunction="sum" dataDxfId="107" totalsRowDxfId="106"/>
    <tableColumn id="5" xr3:uid="{06CE50E9-F576-4E1C-B396-AE82EF80FF7D}" name="Pajamos _x000a_praeita sav._x000a_(GBO LW)" totalsRowLabel="575 531 €" dataDxfId="105" totalsRowDxfId="104"/>
    <tableColumn id="6" xr3:uid="{5D8F4CF8-A866-40D5-A043-6368CFB2191E}" name="Pakitimas_x000a_(Change)" totalsRowFunction="custom" dataDxfId="103" totalsRowDxfId="102">
      <calculatedColumnFormula>(D3-E3)/E3</calculatedColumnFormula>
      <totalsRowFormula>(D34-E34)/E34</totalsRowFormula>
    </tableColumn>
    <tableColumn id="7" xr3:uid="{3087A21C-B16B-428A-B94B-D5AC6CAF8A91}" name="Žiūrovų sk. _x000a_(ADM)" totalsRowFunction="sum" dataDxfId="101" totalsRowDxfId="100"/>
    <tableColumn id="8" xr3:uid="{346BB7C7-0679-47B5-9ACB-872219FFED67}" name="Seansų sk. _x000a_(Show count)" dataDxfId="99" totalsRowDxfId="98"/>
    <tableColumn id="9" xr3:uid="{F593A71A-6629-4104-8200-4D4588137294}" name="Lankomumo vid._x000a_(Average ADM)" dataDxfId="97" totalsRowDxfId="96">
      <calculatedColumnFormula>G3/H3</calculatedColumnFormula>
    </tableColumn>
    <tableColumn id="10" xr3:uid="{DB432119-D499-4249-A585-A34D969D3A30}" name="Kopijų sk. _x000a_(DCO count)" dataDxfId="95" totalsRowDxfId="94"/>
    <tableColumn id="11" xr3:uid="{5866923E-AB37-48C4-ACDE-831A7F890300}" name="Rodymo savaitė_x000a_(Week on screen)" dataDxfId="93" totalsRowDxfId="92"/>
    <tableColumn id="12" xr3:uid="{5AC06D61-B3B1-421F-A5A3-F4517B6C5658}" name="Bendros pajamos _x000a_(Total GBO)" dataDxfId="91" totalsRowDxfId="90"/>
    <tableColumn id="13" xr3:uid="{C3D4240E-9A62-4E64-BAA4-A5CFA01850FF}" name="Bendras žiūrovų sk._x000a_(Total ADM)" dataDxfId="89" totalsRowDxfId="88"/>
    <tableColumn id="14" xr3:uid="{41517337-8B56-4C15-8C77-A336A46AE6C4}" name="Premjeros data _x000a_(Release date)" dataDxfId="87" totalsRowDxfId="86"/>
    <tableColumn id="15" xr3:uid="{1981A01C-5875-4350-810A-6F36A01802B8}" name="Platintojas _x000a_(Distributor)" dataDxfId="85" totalsRowDxfId="84"/>
  </tableColumns>
  <tableStyleInfo name="TableStyleLight18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CE3F63-70E1-4E9E-9D91-242711C33502}" name="Table132" displayName="Table132" ref="A2:O35" totalsRowCount="1" headerRowDxfId="83" dataDxfId="81" totalsRowDxfId="80" headerRowBorderDxfId="82">
  <autoFilter ref="A2:O34" xr:uid="{F1CE3F63-70E1-4E9E-9D91-242711C33502}"/>
  <sortState xmlns:xlrd2="http://schemas.microsoft.com/office/spreadsheetml/2017/richdata2" ref="A3:O34">
    <sortCondition descending="1" ref="D3:D34"/>
  </sortState>
  <tableColumns count="15">
    <tableColumn id="1" xr3:uid="{DA59CF27-800B-4535-9A8C-789AE6B7D929}" name=" " totalsRowLabel=" " dataDxfId="79" totalsRowDxfId="78"/>
    <tableColumn id="2" xr3:uid="{CA3D2FFC-6C36-40C0-AE13-90D2DDE2EA0F}" name="Column1" totalsRowLabel=" " dataDxfId="77" totalsRowDxfId="76"/>
    <tableColumn id="3" xr3:uid="{D3260A60-E34E-4420-9C92-AC16DA7C06AA}" name="Filmas _x000a_(Movie)" totalsRowLabel="Total (32)" dataDxfId="75" totalsRowDxfId="74"/>
    <tableColumn id="4" xr3:uid="{1B1BCD2D-8718-45AD-AA80-0AB89E9E4C07}" name="Pajamos _x000a_(GBO)" totalsRowFunction="sum" dataDxfId="73" totalsRowDxfId="72"/>
    <tableColumn id="5" xr3:uid="{CF2C668F-78E9-4C33-AA61-81421F40249C}" name="Pajamos _x000a_praeita sav._x000a_(GBO LW)" totalsRowLabel="493 524 €" dataDxfId="71" totalsRowDxfId="70"/>
    <tableColumn id="6" xr3:uid="{0B4CCB85-BD0D-422B-BB3A-BAD765F96027}" name="Pakitimas_x000a_(Change)" totalsRowFunction="custom" dataDxfId="69" totalsRowDxfId="68">
      <calculatedColumnFormula>(D3-E3)/E3</calculatedColumnFormula>
      <totalsRowFormula>(D35-E35)/E35</totalsRowFormula>
    </tableColumn>
    <tableColumn id="7" xr3:uid="{AF17E31C-F47B-4082-9E9D-5E61B8733664}" name="Žiūrovų sk. _x000a_(ADM)" totalsRowFunction="sum" dataDxfId="67" totalsRowDxfId="66"/>
    <tableColumn id="8" xr3:uid="{1F1ECBA8-1F1D-460C-915A-D81FD24F7192}" name="Seansų sk. _x000a_(Show count)" dataDxfId="65" totalsRowDxfId="64"/>
    <tableColumn id="9" xr3:uid="{0BDE877D-783B-476B-9DB7-CF04C158F8BD}" name="Lankomumo vid._x000a_(Average ADM)" dataDxfId="63" totalsRowDxfId="62">
      <calculatedColumnFormula>G3/H3</calculatedColumnFormula>
    </tableColumn>
    <tableColumn id="10" xr3:uid="{7A8E1B94-F554-4D7B-8292-B58C1C9CCE6E}" name="Kopijų sk. _x000a_(DCO count)" dataDxfId="61" totalsRowDxfId="60"/>
    <tableColumn id="11" xr3:uid="{249B7B44-F5C3-4432-840F-2C0D57CD2CE2}" name="Rodymo savaitė_x000a_(Week on screen)" dataDxfId="59" totalsRowDxfId="58"/>
    <tableColumn id="12" xr3:uid="{F87FEB00-1449-4574-9BD3-D3071959A3F0}" name="Bendros pajamos _x000a_(Total GBO)" dataDxfId="57" totalsRowDxfId="56"/>
    <tableColumn id="13" xr3:uid="{5ACE6808-BB59-4F6D-AAD0-15897A76112B}" name="Bendras žiūrovų sk._x000a_(Total ADM)" dataDxfId="55" totalsRowDxfId="54"/>
    <tableColumn id="14" xr3:uid="{A2100328-2174-435D-9C16-361490D9CBF9}" name="Premjeros data _x000a_(Release date)" dataDxfId="53" totalsRowDxfId="52"/>
    <tableColumn id="15" xr3:uid="{43492669-0D75-4B6F-B5B7-52045CF9C590}" name="Platintojas _x000a_(Distributor)" dataDxfId="51" totalsRowDxfId="50"/>
  </tableColumns>
  <tableStyleInfo name="TableStyleLight18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379E32-778B-487C-96D9-D0884832B667}" name="Table13" displayName="Table13" ref="A2:O33" totalsRowCount="1" headerRowDxfId="49" dataDxfId="47" totalsRowDxfId="46" headerRowBorderDxfId="48">
  <autoFilter ref="A2:O32" xr:uid="{84379E32-778B-487C-96D9-D0884832B667}"/>
  <sortState xmlns:xlrd2="http://schemas.microsoft.com/office/spreadsheetml/2017/richdata2" ref="A3:O32">
    <sortCondition descending="1" ref="D3:D32"/>
  </sortState>
  <tableColumns count="15">
    <tableColumn id="1" xr3:uid="{93EC8040-391C-4B64-803B-946594B6B7F7}" name=" " totalsRowLabel=" " dataDxfId="45" totalsRowDxfId="44"/>
    <tableColumn id="2" xr3:uid="{D6AA89DD-F402-49ED-B2CA-B45ED30EB6A8}" name="Column1" dataDxfId="43" totalsRowDxfId="42"/>
    <tableColumn id="3" xr3:uid="{8524161D-F780-40E6-96D9-D46D84D91E1F}" name="Filmas _x000a_(Movie)" totalsRowLabel="Total (30)" dataDxfId="41" totalsRowDxfId="40"/>
    <tableColumn id="4" xr3:uid="{898DAD4F-B56E-4B96-9BAF-7609A0041E01}" name="Pajamos _x000a_(GBO)" totalsRowFunction="sum" dataDxfId="39" totalsRowDxfId="38"/>
    <tableColumn id="5" xr3:uid="{C59F2D4C-5823-45F4-9D98-114FFD01A927}" name="Pajamos _x000a_praeita sav._x000a_(GBO LW)" totalsRowLabel="632 277 €" dataDxfId="37" totalsRowDxfId="36"/>
    <tableColumn id="6" xr3:uid="{F957FCE3-B2E4-448E-8740-03D906BC5EB7}" name="Pakitimas_x000a_(Change)" totalsRowFunction="custom" dataDxfId="35" totalsRowDxfId="34">
      <calculatedColumnFormula>(D3-E3)/E3</calculatedColumnFormula>
      <totalsRowFormula>(D33-E33)/E33</totalsRowFormula>
    </tableColumn>
    <tableColumn id="7" xr3:uid="{45DD8E99-004C-4D9C-979D-6F515FFFFB92}" name="Žiūrovų sk. _x000a_(ADM)" totalsRowFunction="sum" dataDxfId="33" totalsRowDxfId="32"/>
    <tableColumn id="8" xr3:uid="{2BB64C16-9186-4C4A-A0C9-08323CEFC402}" name="Seansų sk. _x000a_(Show count)" dataDxfId="31" totalsRowDxfId="30"/>
    <tableColumn id="9" xr3:uid="{F6C07FA5-1C03-4357-A44D-0B81FC66E2AF}" name="Lankomumo vid._x000a_(Average ADM)" dataDxfId="29" totalsRowDxfId="28">
      <calculatedColumnFormula>G3/H3</calculatedColumnFormula>
    </tableColumn>
    <tableColumn id="10" xr3:uid="{A3E561A1-4C0E-457E-84AA-349FD64794AE}" name="Kopijų sk. _x000a_(DCO count)" dataDxfId="27" totalsRowDxfId="26"/>
    <tableColumn id="11" xr3:uid="{E20BF4A7-9048-401E-A6FA-983414B01ED2}" name="Rodymo savaitė_x000a_(Week on screen)" dataDxfId="25" totalsRowDxfId="24"/>
    <tableColumn id="12" xr3:uid="{67BC01BA-5CB2-41D3-AB69-350EFF0FD930}" name="Bendros pajamos _x000a_(Total GBO)" dataDxfId="23" totalsRowDxfId="22"/>
    <tableColumn id="13" xr3:uid="{37483393-9FD8-4B34-8B9D-DE79FEFE93B2}" name="Bendras žiūrovų sk._x000a_(Total ADM)" dataDxfId="21" totalsRowDxfId="20"/>
    <tableColumn id="14" xr3:uid="{EADF24B6-15DA-48EA-B223-A587598EEB24}" name="Premjeros data _x000a_(Release date)" dataDxfId="19" totalsRowDxfId="18"/>
    <tableColumn id="15" xr3:uid="{5103FA11-CF5D-49EC-A2A1-D131ABB2109C}" name="Platintojas _x000a_(Distributor)" dataDxfId="17" totalsRowDxfId="1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vmlDrawing" Target="../drawings/vmlDrawing2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6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7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9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10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11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14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16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17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18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19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2CCA1-4576-4CD7-9D86-5D505CFF6446}">
  <dimension ref="A1:XFC682"/>
  <sheetViews>
    <sheetView tabSelected="1" zoomScale="70" zoomScaleNormal="70" workbookViewId="0">
      <selection activeCell="K5" sqref="K5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6" t="s">
        <v>436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4" t="s">
        <v>49</v>
      </c>
      <c r="C3" s="15" t="s">
        <v>438</v>
      </c>
      <c r="D3" s="16">
        <v>72675.92</v>
      </c>
      <c r="E3" s="19" t="s">
        <v>13</v>
      </c>
      <c r="F3" s="19" t="s">
        <v>13</v>
      </c>
      <c r="G3" s="18">
        <v>8529</v>
      </c>
      <c r="H3" s="18">
        <v>170</v>
      </c>
      <c r="I3" s="19">
        <f>G3/H3</f>
        <v>50.170588235294119</v>
      </c>
      <c r="J3" s="18">
        <v>23</v>
      </c>
      <c r="K3" s="19">
        <v>1</v>
      </c>
      <c r="L3" s="16">
        <v>79776</v>
      </c>
      <c r="M3" s="18">
        <v>9429</v>
      </c>
      <c r="N3" s="20">
        <v>46290</v>
      </c>
      <c r="O3" s="40" t="s">
        <v>94</v>
      </c>
    </row>
    <row r="4" spans="1:15" s="2" customFormat="1" ht="24.9" customHeight="1">
      <c r="A4" s="14">
        <v>2</v>
      </c>
      <c r="B4" s="14" t="s">
        <v>49</v>
      </c>
      <c r="C4" s="15" t="s">
        <v>440</v>
      </c>
      <c r="D4" s="16">
        <v>42807.25</v>
      </c>
      <c r="E4" s="19" t="s">
        <v>13</v>
      </c>
      <c r="F4" s="19" t="s">
        <v>13</v>
      </c>
      <c r="G4" s="18">
        <v>5460</v>
      </c>
      <c r="H4" s="18">
        <v>99</v>
      </c>
      <c r="I4" s="19">
        <f>G4/H4</f>
        <v>55.151515151515149</v>
      </c>
      <c r="J4" s="18">
        <v>17</v>
      </c>
      <c r="K4" s="19">
        <v>1</v>
      </c>
      <c r="L4" s="16">
        <v>42807</v>
      </c>
      <c r="M4" s="18">
        <v>5460</v>
      </c>
      <c r="N4" s="20">
        <v>46290</v>
      </c>
      <c r="O4" s="40" t="s">
        <v>310</v>
      </c>
    </row>
    <row r="5" spans="1:15" s="2" customFormat="1" ht="24.9" customHeight="1">
      <c r="A5" s="14">
        <v>3</v>
      </c>
      <c r="B5" s="14">
        <v>1</v>
      </c>
      <c r="C5" s="15" t="s">
        <v>432</v>
      </c>
      <c r="D5" s="16">
        <v>40964.9</v>
      </c>
      <c r="E5" s="16">
        <v>82849.91</v>
      </c>
      <c r="F5" s="10">
        <f>(D5-E5)/E5</f>
        <v>-0.50555287265852189</v>
      </c>
      <c r="G5" s="18">
        <v>5052</v>
      </c>
      <c r="H5" s="18">
        <v>82</v>
      </c>
      <c r="I5" s="19">
        <f>G5/H5</f>
        <v>61.609756097560975</v>
      </c>
      <c r="J5" s="18">
        <v>13</v>
      </c>
      <c r="K5" s="19">
        <v>2</v>
      </c>
      <c r="L5" s="16">
        <v>178120.77</v>
      </c>
      <c r="M5" s="18">
        <v>20716</v>
      </c>
      <c r="N5" s="20">
        <v>46283</v>
      </c>
      <c r="O5" s="39" t="s">
        <v>39</v>
      </c>
    </row>
    <row r="6" spans="1:15" s="2" customFormat="1" ht="24.9" customHeight="1">
      <c r="A6" s="14">
        <v>4</v>
      </c>
      <c r="B6" s="19" t="s">
        <v>13</v>
      </c>
      <c r="C6" s="15" t="s">
        <v>437</v>
      </c>
      <c r="D6" s="16">
        <v>34776.03</v>
      </c>
      <c r="E6" s="19" t="s">
        <v>13</v>
      </c>
      <c r="F6" s="19" t="s">
        <v>13</v>
      </c>
      <c r="G6" s="18">
        <v>3775</v>
      </c>
      <c r="H6" s="18">
        <v>52</v>
      </c>
      <c r="I6" s="19">
        <f>G6/H6</f>
        <v>72.59615384615384</v>
      </c>
      <c r="J6" s="18">
        <v>11</v>
      </c>
      <c r="K6" s="19" t="s">
        <v>13</v>
      </c>
      <c r="L6" s="16">
        <v>37354</v>
      </c>
      <c r="M6" s="18">
        <v>4154</v>
      </c>
      <c r="N6" s="19" t="s">
        <v>13</v>
      </c>
      <c r="O6" s="40" t="s">
        <v>37</v>
      </c>
    </row>
    <row r="7" spans="1:15" s="95" customFormat="1" ht="24.9" customHeight="1">
      <c r="A7" s="14">
        <v>5</v>
      </c>
      <c r="B7" s="14">
        <v>16</v>
      </c>
      <c r="C7" s="15" t="s">
        <v>433</v>
      </c>
      <c r="D7" s="16">
        <v>31277.67</v>
      </c>
      <c r="E7" s="16">
        <v>3657.73</v>
      </c>
      <c r="F7" s="10">
        <f>(D7-E7)/E7</f>
        <v>7.5511150358282322</v>
      </c>
      <c r="G7" s="18">
        <v>5149</v>
      </c>
      <c r="H7" s="18">
        <v>124</v>
      </c>
      <c r="I7" s="19">
        <f>G7/H7</f>
        <v>41.524193548387096</v>
      </c>
      <c r="J7" s="18">
        <v>18</v>
      </c>
      <c r="K7" s="19">
        <v>1</v>
      </c>
      <c r="L7" s="16">
        <v>34935.4</v>
      </c>
      <c r="M7" s="18">
        <v>5725</v>
      </c>
      <c r="N7" s="20">
        <v>46290</v>
      </c>
      <c r="O7" s="40" t="s">
        <v>42</v>
      </c>
    </row>
    <row r="8" spans="1:15" ht="24.9" customHeight="1">
      <c r="A8" s="14">
        <v>6</v>
      </c>
      <c r="B8" s="14" t="s">
        <v>49</v>
      </c>
      <c r="C8" s="15" t="s">
        <v>439</v>
      </c>
      <c r="D8" s="16">
        <v>22191.5</v>
      </c>
      <c r="E8" s="19" t="s">
        <v>13</v>
      </c>
      <c r="F8" s="19" t="s">
        <v>13</v>
      </c>
      <c r="G8" s="18">
        <v>2964</v>
      </c>
      <c r="H8" s="18">
        <v>66</v>
      </c>
      <c r="I8" s="19">
        <f>G8/H8</f>
        <v>44.909090909090907</v>
      </c>
      <c r="J8" s="18">
        <v>16</v>
      </c>
      <c r="K8" s="19">
        <v>1</v>
      </c>
      <c r="L8" s="16">
        <v>25585.360000000001</v>
      </c>
      <c r="M8" s="18">
        <v>3563</v>
      </c>
      <c r="N8" s="20">
        <v>46290</v>
      </c>
      <c r="O8" s="40" t="s">
        <v>47</v>
      </c>
    </row>
    <row r="9" spans="1:15" ht="24.9" customHeight="1">
      <c r="A9" s="14">
        <v>7</v>
      </c>
      <c r="B9" s="14">
        <v>3</v>
      </c>
      <c r="C9" s="15" t="s">
        <v>357</v>
      </c>
      <c r="D9" s="16">
        <v>19070.55</v>
      </c>
      <c r="E9" s="16">
        <v>26649.07</v>
      </c>
      <c r="F9" s="10">
        <f>(D9-E9)/E9</f>
        <v>-0.28438215667563638</v>
      </c>
      <c r="G9" s="18">
        <v>2110</v>
      </c>
      <c r="H9" s="18">
        <v>34</v>
      </c>
      <c r="I9" s="19">
        <f>G9/H9</f>
        <v>62.058823529411768</v>
      </c>
      <c r="J9" s="18">
        <v>11</v>
      </c>
      <c r="K9" s="19">
        <v>11</v>
      </c>
      <c r="L9" s="16">
        <v>1673797</v>
      </c>
      <c r="M9" s="18">
        <v>186635</v>
      </c>
      <c r="N9" s="20">
        <v>46220</v>
      </c>
      <c r="O9" s="40" t="s">
        <v>207</v>
      </c>
    </row>
    <row r="10" spans="1:15" ht="24.9" customHeight="1">
      <c r="A10" s="14">
        <v>8</v>
      </c>
      <c r="B10" s="14">
        <v>2</v>
      </c>
      <c r="C10" s="15" t="s">
        <v>420</v>
      </c>
      <c r="D10" s="16">
        <v>15534.51</v>
      </c>
      <c r="E10" s="16">
        <v>28574.53</v>
      </c>
      <c r="F10" s="10">
        <f>(D10-E10)/E10</f>
        <v>-0.45635116308124751</v>
      </c>
      <c r="G10" s="18">
        <v>1941</v>
      </c>
      <c r="H10" s="18">
        <v>56</v>
      </c>
      <c r="I10" s="19">
        <f>G10/H10</f>
        <v>34.660714285714285</v>
      </c>
      <c r="J10" s="18">
        <v>12</v>
      </c>
      <c r="K10" s="19">
        <v>3</v>
      </c>
      <c r="L10" s="16">
        <v>157517.42000000001</v>
      </c>
      <c r="M10" s="18">
        <v>18524</v>
      </c>
      <c r="N10" s="20">
        <v>46276</v>
      </c>
      <c r="O10" s="39" t="s">
        <v>39</v>
      </c>
    </row>
    <row r="11" spans="1:15" ht="24.6" customHeight="1">
      <c r="A11" s="14">
        <v>9</v>
      </c>
      <c r="B11" s="14">
        <v>4</v>
      </c>
      <c r="C11" s="15" t="s">
        <v>428</v>
      </c>
      <c r="D11" s="16">
        <v>11781.89</v>
      </c>
      <c r="E11" s="16">
        <v>25282.37</v>
      </c>
      <c r="F11" s="10">
        <f>(D11-E11)/E11</f>
        <v>-0.53398791331667084</v>
      </c>
      <c r="G11" s="18">
        <v>1578</v>
      </c>
      <c r="H11" s="19" t="s">
        <v>13</v>
      </c>
      <c r="I11" s="19" t="s">
        <v>13</v>
      </c>
      <c r="J11" s="19">
        <v>11</v>
      </c>
      <c r="K11" s="19">
        <v>2</v>
      </c>
      <c r="L11" s="16">
        <v>52532.81</v>
      </c>
      <c r="M11" s="18">
        <v>7812</v>
      </c>
      <c r="N11" s="20">
        <v>46283</v>
      </c>
      <c r="O11" s="40" t="s">
        <v>429</v>
      </c>
    </row>
    <row r="12" spans="1:15" ht="24.9" customHeight="1">
      <c r="A12" s="14">
        <v>10</v>
      </c>
      <c r="B12" s="14">
        <v>5</v>
      </c>
      <c r="C12" s="15" t="s">
        <v>370</v>
      </c>
      <c r="D12" s="16">
        <v>10174.290000000001</v>
      </c>
      <c r="E12" s="16">
        <v>16594.41</v>
      </c>
      <c r="F12" s="10">
        <f>(D12-E12)/E12</f>
        <v>-0.38688449905721256</v>
      </c>
      <c r="G12" s="18">
        <v>1311</v>
      </c>
      <c r="H12" s="18">
        <v>30</v>
      </c>
      <c r="I12" s="19">
        <f>G12/H12</f>
        <v>43.7</v>
      </c>
      <c r="J12" s="18">
        <v>8</v>
      </c>
      <c r="K12" s="19">
        <v>9</v>
      </c>
      <c r="L12" s="16">
        <v>1275853.3400000001</v>
      </c>
      <c r="M12" s="18">
        <v>157308</v>
      </c>
      <c r="N12" s="20">
        <v>46233</v>
      </c>
      <c r="O12" s="39" t="s">
        <v>39</v>
      </c>
    </row>
    <row r="13" spans="1:15" ht="24.9" customHeight="1">
      <c r="A13" s="14">
        <v>11</v>
      </c>
      <c r="B13" s="14">
        <v>8</v>
      </c>
      <c r="C13" s="15" t="s">
        <v>384</v>
      </c>
      <c r="D13" s="16">
        <v>7634.9</v>
      </c>
      <c r="E13" s="16">
        <v>9882.23</v>
      </c>
      <c r="F13" s="10">
        <f>(D13-E13)/E13</f>
        <v>-0.22741122196103511</v>
      </c>
      <c r="G13" s="18">
        <v>1195</v>
      </c>
      <c r="H13" s="18">
        <v>41</v>
      </c>
      <c r="I13" s="19">
        <f>G13/H13</f>
        <v>29.146341463414632</v>
      </c>
      <c r="J13" s="18">
        <v>9</v>
      </c>
      <c r="K13" s="19">
        <v>7</v>
      </c>
      <c r="L13" s="16">
        <v>303347</v>
      </c>
      <c r="M13" s="18">
        <v>51144</v>
      </c>
      <c r="N13" s="20">
        <v>46249</v>
      </c>
      <c r="O13" s="40" t="s">
        <v>310</v>
      </c>
    </row>
    <row r="14" spans="1:15" ht="24.9" customHeight="1">
      <c r="A14" s="14">
        <v>12</v>
      </c>
      <c r="B14" s="14">
        <v>10</v>
      </c>
      <c r="C14" s="15" t="s">
        <v>343</v>
      </c>
      <c r="D14" s="16">
        <v>7528.33</v>
      </c>
      <c r="E14" s="16">
        <v>7241.45</v>
      </c>
      <c r="F14" s="10">
        <f>(D14-E14)/E14</f>
        <v>3.9616375173480468E-2</v>
      </c>
      <c r="G14" s="18">
        <v>1171</v>
      </c>
      <c r="H14" s="18">
        <v>25</v>
      </c>
      <c r="I14" s="19">
        <f>G14/H14</f>
        <v>46.84</v>
      </c>
      <c r="J14" s="18">
        <v>6</v>
      </c>
      <c r="K14" s="19">
        <v>13</v>
      </c>
      <c r="L14" s="16">
        <v>1086779</v>
      </c>
      <c r="M14" s="18">
        <v>167899</v>
      </c>
      <c r="N14" s="20">
        <v>46204</v>
      </c>
      <c r="O14" s="40" t="s">
        <v>207</v>
      </c>
    </row>
    <row r="15" spans="1:15" ht="24.9" customHeight="1">
      <c r="A15" s="14">
        <v>13</v>
      </c>
      <c r="B15" s="14">
        <v>7</v>
      </c>
      <c r="C15" s="15" t="s">
        <v>431</v>
      </c>
      <c r="D15" s="16">
        <v>7000</v>
      </c>
      <c r="E15" s="16">
        <v>10173</v>
      </c>
      <c r="F15" s="10">
        <f>(D15-E15)/E15</f>
        <v>-0.3119040597660474</v>
      </c>
      <c r="G15" s="18">
        <v>1197</v>
      </c>
      <c r="H15" s="19" t="s">
        <v>13</v>
      </c>
      <c r="I15" s="19" t="s">
        <v>13</v>
      </c>
      <c r="J15" s="18">
        <v>14</v>
      </c>
      <c r="K15" s="19">
        <v>2</v>
      </c>
      <c r="L15" s="16">
        <v>18382</v>
      </c>
      <c r="M15" s="18">
        <v>3148</v>
      </c>
      <c r="N15" s="20">
        <v>46283</v>
      </c>
      <c r="O15" s="40" t="s">
        <v>44</v>
      </c>
    </row>
    <row r="16" spans="1:15" ht="24.9" customHeight="1">
      <c r="A16" s="14">
        <v>14</v>
      </c>
      <c r="B16" s="14">
        <v>6</v>
      </c>
      <c r="C16" s="78" t="s">
        <v>414</v>
      </c>
      <c r="D16" s="16">
        <v>4758.91</v>
      </c>
      <c r="E16" s="16">
        <v>12501.12</v>
      </c>
      <c r="F16" s="10">
        <f>(D16-E16)/E16</f>
        <v>-0.61932130881073055</v>
      </c>
      <c r="G16" s="18">
        <v>784</v>
      </c>
      <c r="H16" s="18">
        <v>36</v>
      </c>
      <c r="I16" s="19">
        <f>G16/H16</f>
        <v>21.777777777777779</v>
      </c>
      <c r="J16" s="18">
        <v>11</v>
      </c>
      <c r="K16" s="19">
        <v>4</v>
      </c>
      <c r="L16" s="16">
        <v>58227.77</v>
      </c>
      <c r="M16" s="18">
        <v>9700</v>
      </c>
      <c r="N16" s="20">
        <v>46269</v>
      </c>
      <c r="O16" s="40" t="s">
        <v>42</v>
      </c>
    </row>
    <row r="17" spans="1:15" ht="24.9" customHeight="1">
      <c r="A17" s="14">
        <v>15</v>
      </c>
      <c r="B17" s="14">
        <v>9</v>
      </c>
      <c r="C17" s="15" t="s">
        <v>422</v>
      </c>
      <c r="D17" s="16">
        <v>2967</v>
      </c>
      <c r="E17" s="16">
        <v>7599</v>
      </c>
      <c r="F17" s="10">
        <f>(D17-E17)/E17</f>
        <v>-0.60955388866956184</v>
      </c>
      <c r="G17" s="18">
        <v>374</v>
      </c>
      <c r="H17" s="19" t="s">
        <v>13</v>
      </c>
      <c r="I17" s="19" t="s">
        <v>13</v>
      </c>
      <c r="J17" s="18">
        <v>6</v>
      </c>
      <c r="K17" s="19">
        <v>3</v>
      </c>
      <c r="L17" s="16">
        <v>30255</v>
      </c>
      <c r="M17" s="18">
        <v>4409</v>
      </c>
      <c r="N17" s="20">
        <v>46276</v>
      </c>
      <c r="O17" s="40" t="s">
        <v>44</v>
      </c>
    </row>
    <row r="18" spans="1:15" ht="24.9" customHeight="1">
      <c r="A18" s="14">
        <v>16</v>
      </c>
      <c r="B18" s="14">
        <v>11</v>
      </c>
      <c r="C18" s="15" t="s">
        <v>393</v>
      </c>
      <c r="D18" s="16">
        <v>2021.48</v>
      </c>
      <c r="E18" s="16">
        <v>6538.51</v>
      </c>
      <c r="F18" s="10">
        <f>(D18-E18)/E18</f>
        <v>-0.69083476204823435</v>
      </c>
      <c r="G18" s="18">
        <v>249</v>
      </c>
      <c r="H18" s="18">
        <v>6</v>
      </c>
      <c r="I18" s="19">
        <f>G18/H18</f>
        <v>41.5</v>
      </c>
      <c r="J18" s="18">
        <v>2</v>
      </c>
      <c r="K18" s="19">
        <v>6</v>
      </c>
      <c r="L18" s="16">
        <v>212432.27</v>
      </c>
      <c r="M18" s="18">
        <v>27103</v>
      </c>
      <c r="N18" s="20">
        <v>46255</v>
      </c>
      <c r="O18" s="39" t="s">
        <v>39</v>
      </c>
    </row>
    <row r="19" spans="1:15" ht="24.9" customHeight="1">
      <c r="A19" s="14">
        <v>17</v>
      </c>
      <c r="B19" s="14">
        <v>14</v>
      </c>
      <c r="C19" s="101" t="s">
        <v>421</v>
      </c>
      <c r="D19" s="16">
        <v>1905</v>
      </c>
      <c r="E19" s="16">
        <v>4473</v>
      </c>
      <c r="F19" s="10">
        <f>(D19-E19)/E19</f>
        <v>-0.57411133467471498</v>
      </c>
      <c r="G19" s="18">
        <v>309</v>
      </c>
      <c r="H19" s="19" t="s">
        <v>13</v>
      </c>
      <c r="I19" s="19" t="s">
        <v>13</v>
      </c>
      <c r="J19" s="18">
        <v>9</v>
      </c>
      <c r="K19" s="19">
        <v>3</v>
      </c>
      <c r="L19" s="16">
        <v>16934</v>
      </c>
      <c r="M19" s="18">
        <v>2978</v>
      </c>
      <c r="N19" s="20">
        <v>46276</v>
      </c>
      <c r="O19" s="40" t="s">
        <v>44</v>
      </c>
    </row>
    <row r="20" spans="1:15" ht="24.9" customHeight="1">
      <c r="A20" s="14">
        <v>18</v>
      </c>
      <c r="B20" s="14">
        <v>15</v>
      </c>
      <c r="C20" s="15" t="s">
        <v>406</v>
      </c>
      <c r="D20" s="16">
        <v>1817.9</v>
      </c>
      <c r="E20" s="16">
        <v>3818.79</v>
      </c>
      <c r="F20" s="10">
        <f>(D20-E20)/E20</f>
        <v>-0.52395915983858754</v>
      </c>
      <c r="G20" s="18">
        <v>287</v>
      </c>
      <c r="H20" s="18">
        <v>16</v>
      </c>
      <c r="I20" s="19">
        <f>G20/H20</f>
        <v>17.9375</v>
      </c>
      <c r="J20" s="18">
        <v>4</v>
      </c>
      <c r="K20" s="19">
        <v>5</v>
      </c>
      <c r="L20" s="16">
        <v>54425.47</v>
      </c>
      <c r="M20" s="18">
        <v>8912</v>
      </c>
      <c r="N20" s="20">
        <v>46262</v>
      </c>
      <c r="O20" s="40" t="s">
        <v>46</v>
      </c>
    </row>
    <row r="21" spans="1:15" ht="24.9" customHeight="1">
      <c r="A21" s="14">
        <v>19</v>
      </c>
      <c r="B21" s="14">
        <v>17</v>
      </c>
      <c r="C21" s="15" t="s">
        <v>397</v>
      </c>
      <c r="D21" s="16">
        <v>1175.06</v>
      </c>
      <c r="E21" s="16">
        <v>2516.89</v>
      </c>
      <c r="F21" s="10">
        <f>(D21-E21)/E21</f>
        <v>-0.53313017255422368</v>
      </c>
      <c r="G21" s="18">
        <v>170</v>
      </c>
      <c r="H21" s="18">
        <v>10</v>
      </c>
      <c r="I21" s="19">
        <f>G21/H21</f>
        <v>17</v>
      </c>
      <c r="J21" s="18">
        <v>4</v>
      </c>
      <c r="K21" s="19">
        <v>5</v>
      </c>
      <c r="L21" s="16">
        <v>38503</v>
      </c>
      <c r="M21" s="18">
        <v>5590</v>
      </c>
      <c r="N21" s="20">
        <v>46262</v>
      </c>
      <c r="O21" s="40" t="s">
        <v>94</v>
      </c>
    </row>
    <row r="22" spans="1:15" ht="24.9" customHeight="1">
      <c r="A22" s="14">
        <v>20</v>
      </c>
      <c r="B22" s="14">
        <v>26</v>
      </c>
      <c r="C22" s="15" t="s">
        <v>321</v>
      </c>
      <c r="D22" s="16">
        <v>505.5</v>
      </c>
      <c r="E22" s="16">
        <v>271.3</v>
      </c>
      <c r="F22" s="10">
        <f>(D22-E22)/E22</f>
        <v>0.86325101363803902</v>
      </c>
      <c r="G22" s="18">
        <v>80</v>
      </c>
      <c r="H22" s="18">
        <v>2</v>
      </c>
      <c r="I22" s="19">
        <f>G22/H22</f>
        <v>40</v>
      </c>
      <c r="J22" s="18">
        <v>2</v>
      </c>
      <c r="K22" s="19">
        <v>16</v>
      </c>
      <c r="L22" s="16">
        <v>435521</v>
      </c>
      <c r="M22" s="18">
        <v>55634</v>
      </c>
      <c r="N22" s="20">
        <v>46185</v>
      </c>
      <c r="O22" s="40" t="s">
        <v>94</v>
      </c>
    </row>
    <row r="23" spans="1:15" ht="24.9" customHeight="1">
      <c r="A23" s="14">
        <v>21</v>
      </c>
      <c r="B23" s="14">
        <v>21</v>
      </c>
      <c r="C23" s="15" t="s">
        <v>346</v>
      </c>
      <c r="D23" s="16">
        <v>413.41</v>
      </c>
      <c r="E23" s="16">
        <v>1036.8399999999999</v>
      </c>
      <c r="F23" s="10">
        <f>(D23-E23)/E23</f>
        <v>-0.60127888584545341</v>
      </c>
      <c r="G23" s="18">
        <v>50</v>
      </c>
      <c r="H23" s="18">
        <v>3</v>
      </c>
      <c r="I23" s="19">
        <f>G23/H23</f>
        <v>16.666666666666668</v>
      </c>
      <c r="J23" s="18">
        <v>2</v>
      </c>
      <c r="K23" s="19">
        <v>13</v>
      </c>
      <c r="L23" s="16">
        <v>156227.34</v>
      </c>
      <c r="M23" s="18">
        <v>20470</v>
      </c>
      <c r="N23" s="20">
        <v>46206</v>
      </c>
      <c r="O23" s="40" t="s">
        <v>42</v>
      </c>
    </row>
    <row r="24" spans="1:15" ht="24.9" customHeight="1">
      <c r="A24" s="14">
        <v>22</v>
      </c>
      <c r="B24" s="14">
        <v>13</v>
      </c>
      <c r="C24" s="15" t="s">
        <v>410</v>
      </c>
      <c r="D24" s="16">
        <v>290.37</v>
      </c>
      <c r="E24" s="16">
        <v>6016.72</v>
      </c>
      <c r="F24" s="10">
        <f>(D24-E24)/E24</f>
        <v>-0.9517394859657754</v>
      </c>
      <c r="G24" s="18">
        <v>38</v>
      </c>
      <c r="H24" s="18">
        <v>3</v>
      </c>
      <c r="I24" s="19">
        <f>G24/H24</f>
        <v>12.666666666666666</v>
      </c>
      <c r="J24" s="18">
        <v>3</v>
      </c>
      <c r="K24" s="19">
        <v>4</v>
      </c>
      <c r="L24" s="16">
        <v>57172</v>
      </c>
      <c r="M24" s="18">
        <v>7831</v>
      </c>
      <c r="N24" s="20">
        <v>46269</v>
      </c>
      <c r="O24" s="40" t="s">
        <v>94</v>
      </c>
    </row>
    <row r="25" spans="1:15" ht="24.9" customHeight="1">
      <c r="A25" s="14">
        <v>23</v>
      </c>
      <c r="B25" s="14">
        <v>12</v>
      </c>
      <c r="C25" s="15" t="s">
        <v>435</v>
      </c>
      <c r="D25" s="16">
        <v>272.5</v>
      </c>
      <c r="E25" s="16">
        <v>6116.96</v>
      </c>
      <c r="F25" s="10">
        <f>(D25-E25)/E25</f>
        <v>-0.95545172765556752</v>
      </c>
      <c r="G25" s="18">
        <v>45</v>
      </c>
      <c r="H25" s="18">
        <v>3</v>
      </c>
      <c r="I25" s="19">
        <f>G25/H25</f>
        <v>15</v>
      </c>
      <c r="J25" s="18">
        <v>3</v>
      </c>
      <c r="K25" s="19" t="s">
        <v>13</v>
      </c>
      <c r="L25" s="16">
        <v>9716.94</v>
      </c>
      <c r="M25" s="18">
        <v>1409</v>
      </c>
      <c r="N25" s="20">
        <v>46283</v>
      </c>
      <c r="O25" s="40" t="s">
        <v>43</v>
      </c>
    </row>
    <row r="26" spans="1:15" ht="24.9" customHeight="1">
      <c r="A26" s="14">
        <v>24</v>
      </c>
      <c r="B26" s="14">
        <v>22</v>
      </c>
      <c r="C26" s="15" t="s">
        <v>425</v>
      </c>
      <c r="D26" s="16">
        <v>265</v>
      </c>
      <c r="E26" s="16">
        <v>1024.5</v>
      </c>
      <c r="F26" s="10">
        <f>(D26-E26)/E26</f>
        <v>-0.74133723767691562</v>
      </c>
      <c r="G26" s="18">
        <v>44</v>
      </c>
      <c r="H26" s="18">
        <v>3</v>
      </c>
      <c r="I26" s="19">
        <f>G26/H26</f>
        <v>14.666666666666666</v>
      </c>
      <c r="J26" s="18">
        <v>3</v>
      </c>
      <c r="K26" s="19">
        <v>3</v>
      </c>
      <c r="L26" s="16">
        <v>6874.37</v>
      </c>
      <c r="M26" s="18">
        <v>1036</v>
      </c>
      <c r="N26" s="20">
        <v>46276</v>
      </c>
      <c r="O26" s="40" t="s">
        <v>426</v>
      </c>
    </row>
    <row r="27" spans="1:15" ht="24.9" customHeight="1">
      <c r="A27" s="14">
        <v>25</v>
      </c>
      <c r="B27" s="19" t="s">
        <v>13</v>
      </c>
      <c r="C27" s="15" t="s">
        <v>32</v>
      </c>
      <c r="D27" s="16">
        <v>242</v>
      </c>
      <c r="E27" s="19" t="s">
        <v>13</v>
      </c>
      <c r="F27" s="19" t="s">
        <v>13</v>
      </c>
      <c r="G27" s="18">
        <v>40</v>
      </c>
      <c r="H27" s="18">
        <v>1</v>
      </c>
      <c r="I27" s="19">
        <f>G27/H27</f>
        <v>40</v>
      </c>
      <c r="J27" s="18">
        <v>1</v>
      </c>
      <c r="K27" s="19" t="s">
        <v>13</v>
      </c>
      <c r="L27" s="16">
        <v>77162</v>
      </c>
      <c r="M27" s="18">
        <v>11250</v>
      </c>
      <c r="N27" s="20">
        <v>45961</v>
      </c>
      <c r="O27" s="40" t="s">
        <v>207</v>
      </c>
    </row>
    <row r="28" spans="1:15" ht="24.9" customHeight="1">
      <c r="A28" s="14">
        <v>26</v>
      </c>
      <c r="B28" s="14">
        <v>24</v>
      </c>
      <c r="C28" s="15" t="s">
        <v>398</v>
      </c>
      <c r="D28" s="16">
        <v>220</v>
      </c>
      <c r="E28" s="16">
        <v>451</v>
      </c>
      <c r="F28" s="10">
        <f>(D28-E28)/E28</f>
        <v>-0.51219512195121952</v>
      </c>
      <c r="G28" s="18">
        <v>29</v>
      </c>
      <c r="H28" s="19" t="s">
        <v>13</v>
      </c>
      <c r="I28" s="19" t="s">
        <v>13</v>
      </c>
      <c r="J28" s="18">
        <v>2</v>
      </c>
      <c r="K28" s="19">
        <v>5</v>
      </c>
      <c r="L28" s="16">
        <v>14868</v>
      </c>
      <c r="M28" s="18">
        <v>2002</v>
      </c>
      <c r="N28" s="20">
        <v>46262</v>
      </c>
      <c r="O28" s="40" t="s">
        <v>44</v>
      </c>
    </row>
    <row r="29" spans="1:15" ht="24.9" customHeight="1">
      <c r="A29" s="14">
        <v>27</v>
      </c>
      <c r="B29" s="14">
        <v>25</v>
      </c>
      <c r="C29" s="15" t="s">
        <v>399</v>
      </c>
      <c r="D29" s="16">
        <v>51</v>
      </c>
      <c r="E29" s="16">
        <v>420.5</v>
      </c>
      <c r="F29" s="10">
        <f>(D29-E29)/E29</f>
        <v>-0.87871581450653979</v>
      </c>
      <c r="G29" s="18">
        <v>6</v>
      </c>
      <c r="H29" s="18">
        <v>1</v>
      </c>
      <c r="I29" s="19">
        <f>G29/H29</f>
        <v>6</v>
      </c>
      <c r="J29" s="18">
        <v>1</v>
      </c>
      <c r="K29" s="19">
        <v>5</v>
      </c>
      <c r="L29" s="16">
        <v>18442.669999999998</v>
      </c>
      <c r="M29" s="18">
        <v>2425</v>
      </c>
      <c r="N29" s="20">
        <v>46262</v>
      </c>
      <c r="O29" s="40" t="s">
        <v>42</v>
      </c>
    </row>
    <row r="30" spans="1:15" s="90" customFormat="1" ht="24.9" customHeight="1">
      <c r="A30" s="14">
        <v>28</v>
      </c>
      <c r="B30" s="14">
        <v>20</v>
      </c>
      <c r="C30" s="15" t="s">
        <v>405</v>
      </c>
      <c r="D30" s="16">
        <v>48.79</v>
      </c>
      <c r="E30" s="16">
        <v>1280.19</v>
      </c>
      <c r="F30" s="10">
        <f>(D30-E30)/E30</f>
        <v>-0.96188846968028185</v>
      </c>
      <c r="G30" s="18">
        <v>9</v>
      </c>
      <c r="H30" s="18">
        <v>1</v>
      </c>
      <c r="I30" s="19">
        <f>G30/H30</f>
        <v>9</v>
      </c>
      <c r="J30" s="18">
        <v>1</v>
      </c>
      <c r="K30" s="19">
        <v>5</v>
      </c>
      <c r="L30" s="16">
        <v>57090</v>
      </c>
      <c r="M30" s="18">
        <v>7513</v>
      </c>
      <c r="N30" s="20">
        <v>46262</v>
      </c>
      <c r="O30" s="40" t="s">
        <v>37</v>
      </c>
    </row>
    <row r="31" spans="1:15" ht="24.9" customHeight="1">
      <c r="A31" s="14">
        <v>29</v>
      </c>
      <c r="B31" s="14">
        <v>28</v>
      </c>
      <c r="C31" s="15" t="s">
        <v>417</v>
      </c>
      <c r="D31" s="16">
        <v>48</v>
      </c>
      <c r="E31" s="16">
        <v>168.3</v>
      </c>
      <c r="F31" s="10">
        <f>(D31-E31)/E31</f>
        <v>-0.71479500891265602</v>
      </c>
      <c r="G31" s="18">
        <v>9</v>
      </c>
      <c r="H31" s="18">
        <v>1</v>
      </c>
      <c r="I31" s="19">
        <f>G31/H31</f>
        <v>9</v>
      </c>
      <c r="J31" s="18">
        <v>1</v>
      </c>
      <c r="K31" s="19">
        <v>3</v>
      </c>
      <c r="L31" s="16">
        <v>7801</v>
      </c>
      <c r="M31" s="18">
        <v>931</v>
      </c>
      <c r="N31" s="20">
        <v>46276</v>
      </c>
      <c r="O31" s="40" t="s">
        <v>37</v>
      </c>
    </row>
    <row r="32" spans="1:15" ht="24.9" customHeight="1">
      <c r="A32" s="14">
        <v>30</v>
      </c>
      <c r="B32" s="19" t="s">
        <v>13</v>
      </c>
      <c r="C32" s="15" t="s">
        <v>318</v>
      </c>
      <c r="D32" s="16">
        <v>21</v>
      </c>
      <c r="E32" s="19" t="s">
        <v>13</v>
      </c>
      <c r="F32" s="19" t="s">
        <v>13</v>
      </c>
      <c r="G32" s="18">
        <v>3</v>
      </c>
      <c r="H32" s="19" t="s">
        <v>13</v>
      </c>
      <c r="I32" s="19" t="s">
        <v>13</v>
      </c>
      <c r="J32" s="18">
        <v>1</v>
      </c>
      <c r="K32" s="19" t="s">
        <v>13</v>
      </c>
      <c r="L32" s="16">
        <v>17345</v>
      </c>
      <c r="M32" s="18">
        <v>2822</v>
      </c>
      <c r="N32" s="20">
        <v>46185</v>
      </c>
      <c r="O32" s="39" t="s">
        <v>44</v>
      </c>
    </row>
    <row r="33" spans="1:15" s="1" customFormat="1" ht="24.75" customHeight="1">
      <c r="A33" s="25"/>
      <c r="B33" s="50" t="s">
        <v>14</v>
      </c>
      <c r="C33" s="61" t="s">
        <v>62</v>
      </c>
      <c r="D33" s="92">
        <f>SUBTOTAL(109,Table13245678910111213141516171819202122232425262728293031323334353637383940[Pajamos 
(GBO)])</f>
        <v>340440.66</v>
      </c>
      <c r="E33" s="92">
        <f>SUBTOTAL(109,Table13245678910111213141516171819202122232425262728293031323334353637383940[Pajamos 
praeita sav.
(GBO LW)])</f>
        <v>265138.32</v>
      </c>
      <c r="F33" s="43">
        <f t="shared" ref="F33" si="0">(D33-E33)/E33</f>
        <v>0.28401153028351378</v>
      </c>
      <c r="G33" s="93">
        <f>SUBTOTAL(109,Table13245678910111213141516171819202122232425262728293031323334353637383940[Žiūrovų sk. 
(ADM)])</f>
        <v>43958</v>
      </c>
      <c r="H33" s="36"/>
      <c r="I33" s="25"/>
      <c r="J33" s="36"/>
      <c r="K33" s="48"/>
      <c r="L33" s="32"/>
      <c r="M33" s="36"/>
      <c r="N33" s="38"/>
      <c r="O33" s="41"/>
    </row>
    <row r="34" spans="1:15"/>
    <row r="35" spans="1:15"/>
    <row r="36" spans="1:15" ht="9" customHeight="1"/>
    <row r="37" spans="1:15"/>
    <row r="38" spans="1:15"/>
    <row r="39" spans="1:15"/>
    <row r="40" spans="1:15"/>
    <row r="41" spans="1:15"/>
    <row r="42" spans="1:15"/>
    <row r="43" spans="1:15"/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94978-CC57-4A22-81DD-EA165B687D9D}">
  <dimension ref="A1:XFC667"/>
  <sheetViews>
    <sheetView zoomScale="70" zoomScaleNormal="70" workbookViewId="0">
      <selection activeCell="F4" sqref="F4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6" t="s">
        <v>427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9" t="s">
        <v>49</v>
      </c>
      <c r="C3" s="15" t="s">
        <v>432</v>
      </c>
      <c r="D3" s="16">
        <v>82849.91</v>
      </c>
      <c r="E3" s="19" t="s">
        <v>13</v>
      </c>
      <c r="F3" s="19" t="s">
        <v>13</v>
      </c>
      <c r="G3" s="18">
        <v>8598</v>
      </c>
      <c r="H3" s="18">
        <v>112</v>
      </c>
      <c r="I3" s="19">
        <f>G3/H3</f>
        <v>76.767857142857139</v>
      </c>
      <c r="J3" s="18">
        <v>17</v>
      </c>
      <c r="K3" s="19">
        <v>1</v>
      </c>
      <c r="L3" s="16">
        <v>93977.59</v>
      </c>
      <c r="M3" s="18">
        <v>9852</v>
      </c>
      <c r="N3" s="20">
        <v>46283</v>
      </c>
      <c r="O3" s="39" t="s">
        <v>39</v>
      </c>
    </row>
    <row r="4" spans="1:15" s="2" customFormat="1" ht="24.9" customHeight="1">
      <c r="A4" s="14">
        <v>2</v>
      </c>
      <c r="B4" s="14">
        <v>1</v>
      </c>
      <c r="C4" s="15" t="s">
        <v>420</v>
      </c>
      <c r="D4" s="16">
        <v>28574.53</v>
      </c>
      <c r="E4" s="16">
        <v>48962.22</v>
      </c>
      <c r="F4" s="10">
        <f>(D4-E4)/E4</f>
        <v>-0.41639635621097248</v>
      </c>
      <c r="G4" s="18">
        <v>3374</v>
      </c>
      <c r="H4" s="18">
        <v>119</v>
      </c>
      <c r="I4" s="19">
        <f>G4/H4</f>
        <v>28.352941176470587</v>
      </c>
      <c r="J4" s="18">
        <v>17</v>
      </c>
      <c r="K4" s="19">
        <v>2</v>
      </c>
      <c r="L4" s="16">
        <v>124576.95</v>
      </c>
      <c r="M4" s="18">
        <v>13707</v>
      </c>
      <c r="N4" s="20">
        <v>46276</v>
      </c>
      <c r="O4" s="39" t="s">
        <v>39</v>
      </c>
    </row>
    <row r="5" spans="1:15" s="2" customFormat="1" ht="24.9" customHeight="1">
      <c r="A5" s="14">
        <v>3</v>
      </c>
      <c r="B5" s="14">
        <v>2</v>
      </c>
      <c r="C5" s="15" t="s">
        <v>357</v>
      </c>
      <c r="D5" s="16">
        <v>26649.07</v>
      </c>
      <c r="E5" s="16">
        <v>37578.43</v>
      </c>
      <c r="F5" s="10">
        <f>(D5-E5)/E5</f>
        <v>-0.2908413150842119</v>
      </c>
      <c r="G5" s="18">
        <v>2983</v>
      </c>
      <c r="H5" s="18">
        <v>57</v>
      </c>
      <c r="I5" s="19">
        <f>G5/H5</f>
        <v>52.333333333333336</v>
      </c>
      <c r="J5" s="18">
        <v>10</v>
      </c>
      <c r="K5" s="12">
        <v>10</v>
      </c>
      <c r="L5" s="16">
        <v>1642182</v>
      </c>
      <c r="M5" s="18">
        <v>182506</v>
      </c>
      <c r="N5" s="20">
        <v>46220</v>
      </c>
      <c r="O5" s="40" t="s">
        <v>207</v>
      </c>
    </row>
    <row r="6" spans="1:15" s="2" customFormat="1" ht="24.9" customHeight="1">
      <c r="A6" s="14">
        <v>4</v>
      </c>
      <c r="B6" s="19" t="s">
        <v>49</v>
      </c>
      <c r="C6" s="15" t="s">
        <v>428</v>
      </c>
      <c r="D6" s="16">
        <v>25282.37</v>
      </c>
      <c r="E6" s="19" t="s">
        <v>13</v>
      </c>
      <c r="F6" s="19" t="s">
        <v>13</v>
      </c>
      <c r="G6" s="18">
        <v>3444</v>
      </c>
      <c r="H6" s="19" t="s">
        <v>13</v>
      </c>
      <c r="I6" s="19" t="s">
        <v>13</v>
      </c>
      <c r="J6" s="19">
        <v>20</v>
      </c>
      <c r="K6" s="19">
        <v>1</v>
      </c>
      <c r="L6" s="16">
        <v>26620.85</v>
      </c>
      <c r="M6" s="18">
        <v>3618</v>
      </c>
      <c r="N6" s="20">
        <v>46283</v>
      </c>
      <c r="O6" s="40" t="s">
        <v>429</v>
      </c>
    </row>
    <row r="7" spans="1:15" s="2" customFormat="1" ht="24.9" customHeight="1">
      <c r="A7" s="14">
        <v>5</v>
      </c>
      <c r="B7" s="14">
        <v>3</v>
      </c>
      <c r="C7" s="15" t="s">
        <v>370</v>
      </c>
      <c r="D7" s="16">
        <v>16594.41</v>
      </c>
      <c r="E7" s="16">
        <v>18653.14</v>
      </c>
      <c r="F7" s="10">
        <f>(D7-E7)/E7</f>
        <v>-0.11036908531217798</v>
      </c>
      <c r="G7" s="18">
        <v>2085</v>
      </c>
      <c r="H7" s="18">
        <v>69</v>
      </c>
      <c r="I7" s="19">
        <f>G7/H7</f>
        <v>30.217391304347824</v>
      </c>
      <c r="J7" s="18">
        <v>8</v>
      </c>
      <c r="K7" s="12">
        <v>8</v>
      </c>
      <c r="L7" s="16">
        <v>1259404.1599999999</v>
      </c>
      <c r="M7" s="18">
        <v>154887</v>
      </c>
      <c r="N7" s="20">
        <v>46233</v>
      </c>
      <c r="O7" s="39" t="s">
        <v>39</v>
      </c>
    </row>
    <row r="8" spans="1:15" ht="24.9" customHeight="1">
      <c r="A8" s="14">
        <v>6</v>
      </c>
      <c r="B8" s="14">
        <v>6</v>
      </c>
      <c r="C8" s="15" t="s">
        <v>414</v>
      </c>
      <c r="D8" s="16">
        <v>12501.12</v>
      </c>
      <c r="E8" s="16">
        <v>10673.76</v>
      </c>
      <c r="F8" s="10">
        <f>(D8-E8)/E8</f>
        <v>0.17120115123442917</v>
      </c>
      <c r="G8" s="18">
        <v>2018</v>
      </c>
      <c r="H8" s="18">
        <v>72</v>
      </c>
      <c r="I8" s="19">
        <f>G8/H8</f>
        <v>28.027777777777779</v>
      </c>
      <c r="J8" s="18">
        <v>16</v>
      </c>
      <c r="K8" s="12">
        <v>3</v>
      </c>
      <c r="L8" s="16">
        <v>51793.39</v>
      </c>
      <c r="M8" s="18">
        <v>8567</v>
      </c>
      <c r="N8" s="20">
        <v>46269</v>
      </c>
      <c r="O8" s="40" t="s">
        <v>42</v>
      </c>
    </row>
    <row r="9" spans="1:15" ht="24.9" customHeight="1">
      <c r="A9" s="14">
        <v>7</v>
      </c>
      <c r="B9" s="19" t="s">
        <v>49</v>
      </c>
      <c r="C9" s="15" t="s">
        <v>431</v>
      </c>
      <c r="D9" s="16">
        <v>10173</v>
      </c>
      <c r="E9" s="19" t="s">
        <v>13</v>
      </c>
      <c r="F9" s="19" t="s">
        <v>13</v>
      </c>
      <c r="G9" s="18">
        <v>1684</v>
      </c>
      <c r="H9" s="19" t="s">
        <v>13</v>
      </c>
      <c r="I9" s="19" t="s">
        <v>13</v>
      </c>
      <c r="J9" s="18">
        <v>16</v>
      </c>
      <c r="K9" s="19">
        <v>1</v>
      </c>
      <c r="L9" s="16">
        <v>10173</v>
      </c>
      <c r="M9" s="18">
        <v>1684</v>
      </c>
      <c r="N9" s="20">
        <v>46283</v>
      </c>
      <c r="O9" s="40" t="s">
        <v>44</v>
      </c>
    </row>
    <row r="10" spans="1:15" ht="24.9" customHeight="1">
      <c r="A10" s="14">
        <v>8</v>
      </c>
      <c r="B10" s="14">
        <v>8</v>
      </c>
      <c r="C10" s="15" t="s">
        <v>384</v>
      </c>
      <c r="D10" s="16">
        <v>9882.23</v>
      </c>
      <c r="E10" s="16">
        <v>10240.129999999999</v>
      </c>
      <c r="F10" s="10">
        <f>(D10-E10)/E10</f>
        <v>-3.4950728164583812E-2</v>
      </c>
      <c r="G10" s="18">
        <v>1533</v>
      </c>
      <c r="H10" s="18">
        <v>64</v>
      </c>
      <c r="I10" s="19">
        <f>G10/H10</f>
        <v>23.953125</v>
      </c>
      <c r="J10" s="18">
        <v>12</v>
      </c>
      <c r="K10" s="12">
        <v>6</v>
      </c>
      <c r="L10" s="16">
        <v>293911</v>
      </c>
      <c r="M10" s="18">
        <v>49609</v>
      </c>
      <c r="N10" s="20">
        <v>46249</v>
      </c>
      <c r="O10" s="40" t="s">
        <v>310</v>
      </c>
    </row>
    <row r="11" spans="1:15" ht="24.6" customHeight="1">
      <c r="A11" s="14">
        <v>9</v>
      </c>
      <c r="B11" s="14">
        <v>4</v>
      </c>
      <c r="C11" s="15" t="s">
        <v>422</v>
      </c>
      <c r="D11" s="16">
        <v>7599</v>
      </c>
      <c r="E11" s="16">
        <v>11256</v>
      </c>
      <c r="F11" s="10">
        <f>(D11-E11)/E11</f>
        <v>-0.32489339019189767</v>
      </c>
      <c r="G11" s="18">
        <v>997</v>
      </c>
      <c r="H11" s="19" t="s">
        <v>13</v>
      </c>
      <c r="I11" s="19" t="s">
        <v>13</v>
      </c>
      <c r="J11" s="18">
        <v>12</v>
      </c>
      <c r="K11" s="19">
        <v>2</v>
      </c>
      <c r="L11" s="16">
        <v>22776</v>
      </c>
      <c r="M11" s="18">
        <v>3197</v>
      </c>
      <c r="N11" s="20">
        <v>46276</v>
      </c>
      <c r="O11" s="40" t="s">
        <v>44</v>
      </c>
    </row>
    <row r="12" spans="1:15" ht="24.9" customHeight="1">
      <c r="A12" s="14">
        <v>10</v>
      </c>
      <c r="B12" s="14">
        <v>10</v>
      </c>
      <c r="C12" s="15" t="s">
        <v>343</v>
      </c>
      <c r="D12" s="16">
        <v>7241.45</v>
      </c>
      <c r="E12" s="16">
        <v>7243.56</v>
      </c>
      <c r="F12" s="10">
        <f>(D12-E12)/E12</f>
        <v>-2.9129323150503094E-4</v>
      </c>
      <c r="G12" s="18">
        <v>1114</v>
      </c>
      <c r="H12" s="18">
        <v>32</v>
      </c>
      <c r="I12" s="19">
        <f>G12/H12</f>
        <v>34.8125</v>
      </c>
      <c r="J12" s="18">
        <v>6</v>
      </c>
      <c r="K12" s="12">
        <v>12</v>
      </c>
      <c r="L12" s="16">
        <v>1078580</v>
      </c>
      <c r="M12" s="18">
        <v>166597</v>
      </c>
      <c r="N12" s="20">
        <v>46204</v>
      </c>
      <c r="O12" s="40" t="s">
        <v>207</v>
      </c>
    </row>
    <row r="13" spans="1:15" ht="24.9" customHeight="1">
      <c r="A13" s="14">
        <v>11</v>
      </c>
      <c r="B13" s="14">
        <v>7</v>
      </c>
      <c r="C13" s="15" t="s">
        <v>393</v>
      </c>
      <c r="D13" s="16">
        <v>6538.51</v>
      </c>
      <c r="E13" s="16">
        <v>10355.09</v>
      </c>
      <c r="F13" s="10">
        <f>(D13-E13)/E13</f>
        <v>-0.36857043251193372</v>
      </c>
      <c r="G13" s="18">
        <v>785</v>
      </c>
      <c r="H13" s="18">
        <v>20</v>
      </c>
      <c r="I13" s="19">
        <f>G13/H13</f>
        <v>39.25</v>
      </c>
      <c r="J13" s="18">
        <v>6</v>
      </c>
      <c r="K13" s="12">
        <v>5</v>
      </c>
      <c r="L13" s="16">
        <v>207133.89</v>
      </c>
      <c r="M13" s="18">
        <v>26282</v>
      </c>
      <c r="N13" s="20">
        <v>46255</v>
      </c>
      <c r="O13" s="39" t="s">
        <v>39</v>
      </c>
    </row>
    <row r="14" spans="1:15" ht="24.9" customHeight="1">
      <c r="A14" s="14">
        <v>12</v>
      </c>
      <c r="B14" s="19" t="s">
        <v>49</v>
      </c>
      <c r="C14" s="15" t="s">
        <v>435</v>
      </c>
      <c r="D14" s="16">
        <v>6116.96</v>
      </c>
      <c r="E14" s="19" t="s">
        <v>13</v>
      </c>
      <c r="F14" s="19" t="s">
        <v>13</v>
      </c>
      <c r="G14" s="18">
        <v>769</v>
      </c>
      <c r="H14" s="18">
        <v>45</v>
      </c>
      <c r="I14" s="19">
        <f>G14/H14</f>
        <v>17.088888888888889</v>
      </c>
      <c r="J14" s="18">
        <v>12</v>
      </c>
      <c r="K14" s="19" t="s">
        <v>13</v>
      </c>
      <c r="L14" s="16">
        <v>6116.96</v>
      </c>
      <c r="M14" s="18">
        <v>769</v>
      </c>
      <c r="N14" s="20">
        <v>46283</v>
      </c>
      <c r="O14" s="40" t="s">
        <v>43</v>
      </c>
    </row>
    <row r="15" spans="1:15" ht="24.9" customHeight="1">
      <c r="A15" s="14">
        <v>13</v>
      </c>
      <c r="B15" s="14">
        <v>5</v>
      </c>
      <c r="C15" s="15" t="s">
        <v>410</v>
      </c>
      <c r="D15" s="16">
        <v>6016.72</v>
      </c>
      <c r="E15" s="16">
        <v>10744.34</v>
      </c>
      <c r="F15" s="10">
        <f>(D15-E15)/E15</f>
        <v>-0.44001027517744223</v>
      </c>
      <c r="G15" s="18">
        <v>726</v>
      </c>
      <c r="H15" s="18">
        <v>23</v>
      </c>
      <c r="I15" s="19">
        <f>G15/H15</f>
        <v>31.565217391304348</v>
      </c>
      <c r="J15" s="18">
        <v>7</v>
      </c>
      <c r="K15" s="12">
        <v>3</v>
      </c>
      <c r="L15" s="16">
        <v>53706</v>
      </c>
      <c r="M15" s="18">
        <v>7170</v>
      </c>
      <c r="N15" s="20">
        <v>46269</v>
      </c>
      <c r="O15" s="40" t="s">
        <v>94</v>
      </c>
    </row>
    <row r="16" spans="1:15" ht="24.9" customHeight="1">
      <c r="A16" s="14">
        <v>14</v>
      </c>
      <c r="B16" s="14">
        <v>9</v>
      </c>
      <c r="C16" s="78" t="s">
        <v>421</v>
      </c>
      <c r="D16" s="16">
        <v>4473</v>
      </c>
      <c r="E16" s="16">
        <v>8386</v>
      </c>
      <c r="F16" s="10">
        <f>(D16-E16)/E16</f>
        <v>-0.46661101836393992</v>
      </c>
      <c r="G16" s="18">
        <v>834</v>
      </c>
      <c r="H16" s="19" t="s">
        <v>13</v>
      </c>
      <c r="I16" s="19" t="s">
        <v>13</v>
      </c>
      <c r="J16" s="18">
        <v>14</v>
      </c>
      <c r="K16" s="19">
        <v>2</v>
      </c>
      <c r="L16" s="16">
        <v>14181</v>
      </c>
      <c r="M16" s="18">
        <v>2498</v>
      </c>
      <c r="N16" s="20">
        <v>46276</v>
      </c>
      <c r="O16" s="40" t="s">
        <v>44</v>
      </c>
    </row>
    <row r="17" spans="1:15" ht="24.9" customHeight="1">
      <c r="A17" s="14">
        <v>15</v>
      </c>
      <c r="B17" s="14">
        <v>11</v>
      </c>
      <c r="C17" s="15" t="s">
        <v>406</v>
      </c>
      <c r="D17" s="16">
        <v>3818.79</v>
      </c>
      <c r="E17" s="16">
        <v>6509.45</v>
      </c>
      <c r="F17" s="10">
        <f>(D17-E17)/E17</f>
        <v>-0.4133467497253992</v>
      </c>
      <c r="G17" s="18">
        <v>593</v>
      </c>
      <c r="H17" s="18">
        <v>20</v>
      </c>
      <c r="I17" s="19">
        <f t="shared" ref="I17:I25" si="0">G17/H17</f>
        <v>29.65</v>
      </c>
      <c r="J17" s="18">
        <v>7</v>
      </c>
      <c r="K17" s="12">
        <v>4</v>
      </c>
      <c r="L17" s="16">
        <v>52148.27</v>
      </c>
      <c r="M17" s="18">
        <v>8533</v>
      </c>
      <c r="N17" s="20">
        <v>46262</v>
      </c>
      <c r="O17" s="40" t="s">
        <v>46</v>
      </c>
    </row>
    <row r="18" spans="1:15" ht="24.9" customHeight="1">
      <c r="A18" s="14">
        <v>16</v>
      </c>
      <c r="B18" s="19" t="s">
        <v>53</v>
      </c>
      <c r="C18" s="15" t="s">
        <v>433</v>
      </c>
      <c r="D18" s="16">
        <v>3657.73</v>
      </c>
      <c r="E18" s="19" t="s">
        <v>13</v>
      </c>
      <c r="F18" s="19" t="s">
        <v>13</v>
      </c>
      <c r="G18" s="18">
        <v>576</v>
      </c>
      <c r="H18" s="18">
        <v>6</v>
      </c>
      <c r="I18" s="19">
        <f t="shared" si="0"/>
        <v>96</v>
      </c>
      <c r="J18" s="18">
        <v>6</v>
      </c>
      <c r="K18" s="19">
        <v>0</v>
      </c>
      <c r="L18" s="16">
        <v>3657.73</v>
      </c>
      <c r="M18" s="18">
        <v>576</v>
      </c>
      <c r="N18" s="20" t="s">
        <v>45</v>
      </c>
      <c r="O18" s="40" t="s">
        <v>42</v>
      </c>
    </row>
    <row r="19" spans="1:15" ht="24.9" customHeight="1">
      <c r="A19" s="14">
        <v>17</v>
      </c>
      <c r="B19" s="14">
        <v>17</v>
      </c>
      <c r="C19" s="15" t="s">
        <v>397</v>
      </c>
      <c r="D19" s="16">
        <v>2516.89</v>
      </c>
      <c r="E19" s="16">
        <v>2802.93</v>
      </c>
      <c r="F19" s="10">
        <f>(D19-E19)/E19</f>
        <v>-0.10205035445052141</v>
      </c>
      <c r="G19" s="18">
        <v>322</v>
      </c>
      <c r="H19" s="18">
        <v>18</v>
      </c>
      <c r="I19" s="19">
        <f t="shared" si="0"/>
        <v>17.888888888888889</v>
      </c>
      <c r="J19" s="18">
        <v>5</v>
      </c>
      <c r="K19" s="12">
        <v>4</v>
      </c>
      <c r="L19" s="16">
        <v>36130</v>
      </c>
      <c r="M19" s="18">
        <v>5227</v>
      </c>
      <c r="N19" s="20">
        <v>46262</v>
      </c>
      <c r="O19" s="40" t="s">
        <v>94</v>
      </c>
    </row>
    <row r="20" spans="1:15" ht="24.9" customHeight="1">
      <c r="A20" s="14">
        <v>18</v>
      </c>
      <c r="B20" s="14">
        <v>12</v>
      </c>
      <c r="C20" s="15" t="s">
        <v>423</v>
      </c>
      <c r="D20" s="16">
        <v>1944.73</v>
      </c>
      <c r="E20" s="16">
        <v>6161.31</v>
      </c>
      <c r="F20" s="10">
        <f>(D20-E20)/E20</f>
        <v>-0.68436420176877966</v>
      </c>
      <c r="G20" s="18">
        <v>228</v>
      </c>
      <c r="H20" s="18">
        <v>8</v>
      </c>
      <c r="I20" s="19">
        <f t="shared" si="0"/>
        <v>28.5</v>
      </c>
      <c r="J20" s="18">
        <v>4</v>
      </c>
      <c r="K20" s="19">
        <v>2</v>
      </c>
      <c r="L20" s="16">
        <v>10952.04</v>
      </c>
      <c r="M20" s="18">
        <v>1406</v>
      </c>
      <c r="N20" s="20">
        <v>46276</v>
      </c>
      <c r="O20" s="40" t="s">
        <v>42</v>
      </c>
    </row>
    <row r="21" spans="1:15" ht="24.9" customHeight="1">
      <c r="A21" s="14">
        <v>19</v>
      </c>
      <c r="B21" s="19" t="s">
        <v>49</v>
      </c>
      <c r="C21" s="15" t="s">
        <v>434</v>
      </c>
      <c r="D21" s="16">
        <v>1877.79</v>
      </c>
      <c r="E21" s="19" t="s">
        <v>13</v>
      </c>
      <c r="F21" s="19" t="s">
        <v>13</v>
      </c>
      <c r="G21" s="18">
        <v>261</v>
      </c>
      <c r="H21" s="18">
        <v>34</v>
      </c>
      <c r="I21" s="19">
        <f t="shared" si="0"/>
        <v>7.6764705882352944</v>
      </c>
      <c r="J21" s="18">
        <v>13</v>
      </c>
      <c r="K21" s="19">
        <v>1</v>
      </c>
      <c r="L21" s="16">
        <v>1877.79</v>
      </c>
      <c r="M21" s="18">
        <v>261</v>
      </c>
      <c r="N21" s="20">
        <v>46283</v>
      </c>
      <c r="O21" s="39" t="s">
        <v>46</v>
      </c>
    </row>
    <row r="22" spans="1:15" ht="24.9" customHeight="1">
      <c r="A22" s="14">
        <v>20</v>
      </c>
      <c r="B22" s="14">
        <v>16</v>
      </c>
      <c r="C22" s="15" t="s">
        <v>405</v>
      </c>
      <c r="D22" s="16">
        <v>1280.19</v>
      </c>
      <c r="E22" s="16">
        <v>3328.17</v>
      </c>
      <c r="F22" s="10">
        <f>(D22-E22)/E22</f>
        <v>-0.61534717277062168</v>
      </c>
      <c r="G22" s="18">
        <v>185</v>
      </c>
      <c r="H22" s="18">
        <v>6</v>
      </c>
      <c r="I22" s="19">
        <f t="shared" si="0"/>
        <v>30.833333333333332</v>
      </c>
      <c r="J22" s="18">
        <v>3</v>
      </c>
      <c r="K22" s="12">
        <v>4</v>
      </c>
      <c r="L22" s="16">
        <v>56596</v>
      </c>
      <c r="M22" s="18">
        <v>7411</v>
      </c>
      <c r="N22" s="20">
        <v>46262</v>
      </c>
      <c r="O22" s="40" t="s">
        <v>37</v>
      </c>
    </row>
    <row r="23" spans="1:15" ht="24.9" customHeight="1">
      <c r="A23" s="14">
        <v>21</v>
      </c>
      <c r="B23" s="14">
        <v>20</v>
      </c>
      <c r="C23" s="15" t="s">
        <v>346</v>
      </c>
      <c r="D23" s="16">
        <v>1036.8399999999999</v>
      </c>
      <c r="E23" s="16">
        <v>1168.1300000000001</v>
      </c>
      <c r="F23" s="10">
        <f>(D23-E23)/E23</f>
        <v>-0.11239331238817613</v>
      </c>
      <c r="G23" s="18">
        <v>133</v>
      </c>
      <c r="H23" s="18">
        <v>5</v>
      </c>
      <c r="I23" s="19">
        <f t="shared" si="0"/>
        <v>26.6</v>
      </c>
      <c r="J23" s="18">
        <v>3</v>
      </c>
      <c r="K23" s="12">
        <v>12</v>
      </c>
      <c r="L23" s="16">
        <v>155297.04</v>
      </c>
      <c r="M23" s="18">
        <v>20332</v>
      </c>
      <c r="N23" s="20">
        <v>46206</v>
      </c>
      <c r="O23" s="40" t="s">
        <v>42</v>
      </c>
    </row>
    <row r="24" spans="1:15" ht="24.9" customHeight="1">
      <c r="A24" s="14">
        <v>22</v>
      </c>
      <c r="B24" s="19">
        <v>15</v>
      </c>
      <c r="C24" s="15" t="s">
        <v>425</v>
      </c>
      <c r="D24" s="16">
        <v>1024.5</v>
      </c>
      <c r="E24" s="19" t="s">
        <v>13</v>
      </c>
      <c r="F24" s="19" t="s">
        <v>13</v>
      </c>
      <c r="G24" s="18">
        <v>152</v>
      </c>
      <c r="H24" s="18">
        <v>9</v>
      </c>
      <c r="I24" s="19">
        <f t="shared" si="0"/>
        <v>16.888888888888889</v>
      </c>
      <c r="J24" s="18">
        <v>6</v>
      </c>
      <c r="K24" s="19">
        <v>2</v>
      </c>
      <c r="L24" s="16">
        <v>5926.77</v>
      </c>
      <c r="M24" s="18">
        <v>819</v>
      </c>
      <c r="N24" s="20">
        <v>46276</v>
      </c>
      <c r="O24" s="40" t="s">
        <v>426</v>
      </c>
    </row>
    <row r="25" spans="1:15" ht="24.9" customHeight="1">
      <c r="A25" s="14">
        <v>23</v>
      </c>
      <c r="B25" s="14">
        <v>14</v>
      </c>
      <c r="C25" s="15" t="s">
        <v>418</v>
      </c>
      <c r="D25" s="16">
        <v>602.87</v>
      </c>
      <c r="E25" s="16">
        <v>4049.26</v>
      </c>
      <c r="F25" s="10">
        <f t="shared" ref="F25:F31" si="1">(D25-E25)/E25</f>
        <v>-0.85111600638141294</v>
      </c>
      <c r="G25" s="18">
        <v>80</v>
      </c>
      <c r="H25" s="18">
        <v>4</v>
      </c>
      <c r="I25" s="19">
        <f t="shared" si="0"/>
        <v>20</v>
      </c>
      <c r="J25" s="18">
        <v>3</v>
      </c>
      <c r="K25" s="19">
        <v>2</v>
      </c>
      <c r="L25" s="16">
        <v>6715</v>
      </c>
      <c r="M25" s="18">
        <v>911</v>
      </c>
      <c r="N25" s="20">
        <v>46276</v>
      </c>
      <c r="O25" s="40" t="s">
        <v>94</v>
      </c>
    </row>
    <row r="26" spans="1:15" ht="24.9" customHeight="1">
      <c r="A26" s="14">
        <v>24</v>
      </c>
      <c r="B26" s="14">
        <v>19</v>
      </c>
      <c r="C26" s="15" t="s">
        <v>398</v>
      </c>
      <c r="D26" s="16">
        <v>451</v>
      </c>
      <c r="E26" s="16">
        <v>1175</v>
      </c>
      <c r="F26" s="10">
        <f t="shared" si="1"/>
        <v>-0.6161702127659574</v>
      </c>
      <c r="G26" s="18">
        <v>57</v>
      </c>
      <c r="H26" s="19" t="s">
        <v>13</v>
      </c>
      <c r="I26" s="19" t="s">
        <v>13</v>
      </c>
      <c r="J26" s="18">
        <v>3</v>
      </c>
      <c r="K26" s="19">
        <v>4</v>
      </c>
      <c r="L26" s="16">
        <v>14512</v>
      </c>
      <c r="M26" s="18">
        <v>1946</v>
      </c>
      <c r="N26" s="20">
        <v>46262</v>
      </c>
      <c r="O26" s="40" t="s">
        <v>44</v>
      </c>
    </row>
    <row r="27" spans="1:15" ht="24.9" customHeight="1">
      <c r="A27" s="14">
        <v>25</v>
      </c>
      <c r="B27" s="14">
        <v>23</v>
      </c>
      <c r="C27" s="15" t="s">
        <v>399</v>
      </c>
      <c r="D27" s="16">
        <v>420.5</v>
      </c>
      <c r="E27" s="16">
        <v>386.3</v>
      </c>
      <c r="F27" s="10">
        <f t="shared" si="1"/>
        <v>8.8532228837690879E-2</v>
      </c>
      <c r="G27" s="18">
        <v>54</v>
      </c>
      <c r="H27" s="18">
        <v>3</v>
      </c>
      <c r="I27" s="19">
        <f t="shared" ref="I27:I35" si="2">G27/H27</f>
        <v>18</v>
      </c>
      <c r="J27" s="18">
        <v>2</v>
      </c>
      <c r="K27" s="12">
        <v>4</v>
      </c>
      <c r="L27" s="16">
        <v>18239.669999999998</v>
      </c>
      <c r="M27" s="18">
        <v>2383</v>
      </c>
      <c r="N27" s="20">
        <v>46262</v>
      </c>
      <c r="O27" s="40" t="s">
        <v>42</v>
      </c>
    </row>
    <row r="28" spans="1:15" ht="24.9" customHeight="1">
      <c r="A28" s="14">
        <v>26</v>
      </c>
      <c r="B28" s="14">
        <v>21</v>
      </c>
      <c r="C28" s="15" t="s">
        <v>321</v>
      </c>
      <c r="D28" s="16">
        <v>271.3</v>
      </c>
      <c r="E28" s="16">
        <v>501</v>
      </c>
      <c r="F28" s="10">
        <f t="shared" si="1"/>
        <v>-0.45848303393213569</v>
      </c>
      <c r="G28" s="18">
        <v>31</v>
      </c>
      <c r="H28" s="18">
        <v>2</v>
      </c>
      <c r="I28" s="19">
        <f t="shared" si="2"/>
        <v>15.5</v>
      </c>
      <c r="J28" s="18">
        <v>1</v>
      </c>
      <c r="K28" s="12">
        <v>15</v>
      </c>
      <c r="L28" s="16">
        <v>434825</v>
      </c>
      <c r="M28" s="18">
        <v>55531</v>
      </c>
      <c r="N28" s="20">
        <v>46185</v>
      </c>
      <c r="O28" s="40" t="s">
        <v>94</v>
      </c>
    </row>
    <row r="29" spans="1:15" ht="24.9" customHeight="1">
      <c r="A29" s="14">
        <v>27</v>
      </c>
      <c r="B29" s="14">
        <v>22</v>
      </c>
      <c r="C29" s="15" t="s">
        <v>386</v>
      </c>
      <c r="D29" s="16">
        <v>255</v>
      </c>
      <c r="E29" s="16">
        <v>472.79</v>
      </c>
      <c r="F29" s="10">
        <f t="shared" si="1"/>
        <v>-0.46064849087332643</v>
      </c>
      <c r="G29" s="18">
        <v>26</v>
      </c>
      <c r="H29" s="18">
        <v>1</v>
      </c>
      <c r="I29" s="19">
        <f t="shared" si="2"/>
        <v>26</v>
      </c>
      <c r="J29" s="18">
        <v>1</v>
      </c>
      <c r="K29" s="12">
        <v>6</v>
      </c>
      <c r="L29" s="16">
        <v>58997.66</v>
      </c>
      <c r="M29" s="18">
        <v>8146</v>
      </c>
      <c r="N29" s="20">
        <v>46248</v>
      </c>
      <c r="O29" s="40" t="s">
        <v>55</v>
      </c>
    </row>
    <row r="30" spans="1:15" ht="24.9" customHeight="1">
      <c r="A30" s="14">
        <v>28</v>
      </c>
      <c r="B30" s="14">
        <v>13</v>
      </c>
      <c r="C30" s="15" t="s">
        <v>417</v>
      </c>
      <c r="D30" s="16">
        <v>168.3</v>
      </c>
      <c r="E30" s="16">
        <v>5881.93</v>
      </c>
      <c r="F30" s="10">
        <f t="shared" si="1"/>
        <v>-0.97138694272118165</v>
      </c>
      <c r="G30" s="18">
        <v>29</v>
      </c>
      <c r="H30" s="18">
        <v>3</v>
      </c>
      <c r="I30" s="19">
        <f t="shared" si="2"/>
        <v>9.6666666666666661</v>
      </c>
      <c r="J30" s="18">
        <v>3</v>
      </c>
      <c r="K30" s="19">
        <v>2</v>
      </c>
      <c r="L30" s="16">
        <v>7510</v>
      </c>
      <c r="M30" s="18">
        <v>888</v>
      </c>
      <c r="N30" s="20">
        <v>46276</v>
      </c>
      <c r="O30" s="40" t="s">
        <v>37</v>
      </c>
    </row>
    <row r="31" spans="1:15" s="76" customFormat="1" ht="24.9" customHeight="1">
      <c r="A31" s="14">
        <v>29</v>
      </c>
      <c r="B31" s="14">
        <v>27</v>
      </c>
      <c r="C31" s="15" t="s">
        <v>392</v>
      </c>
      <c r="D31" s="16">
        <v>42</v>
      </c>
      <c r="E31" s="16">
        <v>114.45</v>
      </c>
      <c r="F31" s="10">
        <f t="shared" si="1"/>
        <v>-0.6330275229357798</v>
      </c>
      <c r="G31" s="18">
        <v>8</v>
      </c>
      <c r="H31" s="18">
        <v>2</v>
      </c>
      <c r="I31" s="19">
        <f t="shared" si="2"/>
        <v>4</v>
      </c>
      <c r="J31" s="18">
        <v>2</v>
      </c>
      <c r="K31" s="19">
        <v>5</v>
      </c>
      <c r="L31" s="16">
        <v>4316.32</v>
      </c>
      <c r="M31" s="18">
        <v>786</v>
      </c>
      <c r="N31" s="20">
        <v>46255</v>
      </c>
      <c r="O31" s="40" t="s">
        <v>86</v>
      </c>
    </row>
    <row r="32" spans="1:15" s="76" customFormat="1" ht="24.9" customHeight="1">
      <c r="A32" s="14">
        <v>30</v>
      </c>
      <c r="B32" s="19"/>
      <c r="C32" s="15" t="s">
        <v>408</v>
      </c>
      <c r="D32" s="16">
        <v>30</v>
      </c>
      <c r="E32" s="19" t="s">
        <v>13</v>
      </c>
      <c r="F32" s="19" t="s">
        <v>13</v>
      </c>
      <c r="G32" s="18">
        <v>5</v>
      </c>
      <c r="H32" s="18">
        <v>1</v>
      </c>
      <c r="I32" s="19">
        <f t="shared" si="2"/>
        <v>5</v>
      </c>
      <c r="J32" s="18" t="s">
        <v>13</v>
      </c>
      <c r="K32" s="18" t="s">
        <v>13</v>
      </c>
      <c r="L32" s="16">
        <v>1481.5</v>
      </c>
      <c r="M32" s="18">
        <v>214</v>
      </c>
      <c r="N32" s="20">
        <v>46262</v>
      </c>
      <c r="O32" s="40" t="s">
        <v>272</v>
      </c>
    </row>
    <row r="33" spans="1:15" s="76" customFormat="1" ht="24.9" customHeight="1">
      <c r="A33" s="14">
        <v>31</v>
      </c>
      <c r="B33" s="14">
        <v>18</v>
      </c>
      <c r="C33" s="15" t="s">
        <v>400</v>
      </c>
      <c r="D33" s="16">
        <v>18</v>
      </c>
      <c r="E33" s="16">
        <v>1808.23</v>
      </c>
      <c r="F33" s="10">
        <f>(D33-E33)/E33</f>
        <v>-0.99004551412154429</v>
      </c>
      <c r="G33" s="18">
        <v>5</v>
      </c>
      <c r="H33" s="18">
        <v>2</v>
      </c>
      <c r="I33" s="19">
        <f t="shared" si="2"/>
        <v>2.5</v>
      </c>
      <c r="J33" s="18">
        <v>2</v>
      </c>
      <c r="K33" s="12">
        <v>4</v>
      </c>
      <c r="L33" s="16">
        <v>17137.080000000002</v>
      </c>
      <c r="M33" s="18">
        <v>3080</v>
      </c>
      <c r="N33" s="20">
        <v>46262</v>
      </c>
      <c r="O33" s="40" t="s">
        <v>42</v>
      </c>
    </row>
    <row r="34" spans="1:15" s="76" customFormat="1" ht="24.9" customHeight="1">
      <c r="A34" s="14">
        <v>32</v>
      </c>
      <c r="B34" s="14">
        <v>29</v>
      </c>
      <c r="C34" s="8" t="s">
        <v>329</v>
      </c>
      <c r="D34" s="16">
        <v>14</v>
      </c>
      <c r="E34" s="16">
        <v>63</v>
      </c>
      <c r="F34" s="10">
        <f>(D34-E34)/E34</f>
        <v>-0.77777777777777779</v>
      </c>
      <c r="G34" s="18">
        <v>2</v>
      </c>
      <c r="H34" s="18">
        <v>1</v>
      </c>
      <c r="I34" s="19">
        <f t="shared" si="2"/>
        <v>2</v>
      </c>
      <c r="J34" s="18">
        <v>1</v>
      </c>
      <c r="K34" s="19" t="s">
        <v>13</v>
      </c>
      <c r="L34" s="16">
        <v>5134.22</v>
      </c>
      <c r="M34" s="18">
        <v>753</v>
      </c>
      <c r="N34" s="13">
        <v>46192</v>
      </c>
      <c r="O34" s="39" t="s">
        <v>46</v>
      </c>
    </row>
    <row r="35" spans="1:15" s="76" customFormat="1" ht="24.9" customHeight="1">
      <c r="A35" s="14">
        <v>33</v>
      </c>
      <c r="B35" s="19" t="s">
        <v>13</v>
      </c>
      <c r="C35" s="15" t="s">
        <v>302</v>
      </c>
      <c r="D35" s="16">
        <v>6</v>
      </c>
      <c r="E35" s="19" t="s">
        <v>13</v>
      </c>
      <c r="F35" s="19" t="s">
        <v>13</v>
      </c>
      <c r="G35" s="18">
        <v>1</v>
      </c>
      <c r="H35" s="18">
        <v>1</v>
      </c>
      <c r="I35" s="19">
        <f t="shared" si="2"/>
        <v>1</v>
      </c>
      <c r="J35" s="18">
        <v>1</v>
      </c>
      <c r="K35" s="19">
        <v>27</v>
      </c>
      <c r="L35" s="16">
        <v>1807.11</v>
      </c>
      <c r="M35" s="18">
        <v>294</v>
      </c>
      <c r="N35" s="20">
        <v>46087</v>
      </c>
      <c r="O35" s="40" t="s">
        <v>47</v>
      </c>
    </row>
    <row r="36" spans="1:15" s="1" customFormat="1" ht="24.75" customHeight="1">
      <c r="A36" s="25"/>
      <c r="B36" s="50" t="s">
        <v>14</v>
      </c>
      <c r="C36" s="29" t="s">
        <v>372</v>
      </c>
      <c r="D36" s="92">
        <f>SUBTOTAL(109,Table132456789101112131415161718192021222324252627282930313233343536373839[Pajamos 
(GBO)])</f>
        <v>269928.71000000002</v>
      </c>
      <c r="E36" s="92">
        <f>SUBTOTAL(109,Table132456789101112131415161718192021222324252627282930313233343536373839[Pajamos 
praeita sav.
(GBO LW)])</f>
        <v>208514.62000000002</v>
      </c>
      <c r="F36" s="43">
        <f t="shared" ref="F36" si="3">(D36-E36)/E36</f>
        <v>0.29453133789851277</v>
      </c>
      <c r="G36" s="93">
        <f>SUBTOTAL(109,Table132456789101112131415161718192021222324252627282930313233343536373839[Žiūrovų sk. 
(ADM)])</f>
        <v>33692</v>
      </c>
      <c r="H36" s="36"/>
      <c r="I36" s="25"/>
      <c r="J36" s="36"/>
      <c r="K36" s="48"/>
      <c r="L36" s="32"/>
      <c r="M36" s="36"/>
      <c r="N36" s="38"/>
      <c r="O36" s="41"/>
    </row>
    <row r="37" spans="1:15"/>
    <row r="38" spans="1:15"/>
    <row r="39" spans="1:15" ht="9" customHeight="1"/>
    <row r="40" spans="1:15"/>
    <row r="41" spans="1:15"/>
    <row r="42" spans="1:15"/>
    <row r="43" spans="1:15"/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1D159-3C65-419F-A042-D79CEED9FBE7}">
  <dimension ref="A1:XFC648"/>
  <sheetViews>
    <sheetView topLeftCell="A8" zoomScale="70" zoomScaleNormal="70" workbookViewId="0">
      <selection activeCell="N32" sqref="N32:O32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6" t="s">
        <v>424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9" t="s">
        <v>49</v>
      </c>
      <c r="C3" s="15" t="s">
        <v>420</v>
      </c>
      <c r="D3" s="16">
        <v>48962.22</v>
      </c>
      <c r="E3" s="19" t="s">
        <v>13</v>
      </c>
      <c r="F3" s="19" t="s">
        <v>13</v>
      </c>
      <c r="G3" s="18">
        <v>5155</v>
      </c>
      <c r="H3" s="18">
        <v>145</v>
      </c>
      <c r="I3" s="19">
        <f>G3/H3</f>
        <v>35.551724137931032</v>
      </c>
      <c r="J3" s="18">
        <v>17</v>
      </c>
      <c r="K3" s="19">
        <v>1</v>
      </c>
      <c r="L3" s="16">
        <v>73062.960000000006</v>
      </c>
      <c r="M3" s="18">
        <v>7594</v>
      </c>
      <c r="N3" s="20">
        <v>46276</v>
      </c>
      <c r="O3" s="39" t="s">
        <v>39</v>
      </c>
    </row>
    <row r="4" spans="1:15" s="2" customFormat="1" ht="24.9" customHeight="1">
      <c r="A4" s="14">
        <v>2</v>
      </c>
      <c r="B4" s="14">
        <v>1</v>
      </c>
      <c r="C4" s="15" t="s">
        <v>357</v>
      </c>
      <c r="D4" s="16">
        <v>37578.43</v>
      </c>
      <c r="E4" s="16">
        <v>59626.43</v>
      </c>
      <c r="F4" s="10">
        <f>(D4-E4)/E4</f>
        <v>-0.36976890952552416</v>
      </c>
      <c r="G4" s="18">
        <v>3809</v>
      </c>
      <c r="H4" s="18">
        <v>60</v>
      </c>
      <c r="I4" s="19">
        <f>G4/H4</f>
        <v>63.483333333333334</v>
      </c>
      <c r="J4" s="18">
        <v>9</v>
      </c>
      <c r="K4" s="12">
        <v>9</v>
      </c>
      <c r="L4" s="16">
        <v>1598705</v>
      </c>
      <c r="M4" s="18">
        <v>177381</v>
      </c>
      <c r="N4" s="20">
        <v>46220</v>
      </c>
      <c r="O4" s="40" t="s">
        <v>207</v>
      </c>
    </row>
    <row r="5" spans="1:15" s="2" customFormat="1" ht="24.9" customHeight="1">
      <c r="A5" s="14">
        <v>3</v>
      </c>
      <c r="B5" s="14">
        <v>2</v>
      </c>
      <c r="C5" s="15" t="s">
        <v>370</v>
      </c>
      <c r="D5" s="16">
        <v>18653.14</v>
      </c>
      <c r="E5" s="16">
        <v>41033.870000000003</v>
      </c>
      <c r="F5" s="10">
        <f>(D5-E5)/E5</f>
        <v>-0.54542089254559711</v>
      </c>
      <c r="G5" s="18">
        <v>2340</v>
      </c>
      <c r="H5" s="18">
        <v>89</v>
      </c>
      <c r="I5" s="19">
        <f>G5/H5</f>
        <v>26.292134831460675</v>
      </c>
      <c r="J5" s="18">
        <v>9</v>
      </c>
      <c r="K5" s="12">
        <v>7</v>
      </c>
      <c r="L5" s="16">
        <v>1236579.6499999999</v>
      </c>
      <c r="M5" s="18">
        <v>151953</v>
      </c>
      <c r="N5" s="20">
        <v>46233</v>
      </c>
      <c r="O5" s="39" t="s">
        <v>39</v>
      </c>
    </row>
    <row r="6" spans="1:15" s="2" customFormat="1" ht="24.9" customHeight="1">
      <c r="A6" s="14">
        <v>4</v>
      </c>
      <c r="B6" s="19" t="s">
        <v>49</v>
      </c>
      <c r="C6" s="15" t="s">
        <v>422</v>
      </c>
      <c r="D6" s="16">
        <v>11256</v>
      </c>
      <c r="E6" s="19" t="s">
        <v>13</v>
      </c>
      <c r="F6" s="19" t="s">
        <v>13</v>
      </c>
      <c r="G6" s="18">
        <v>1549</v>
      </c>
      <c r="H6" s="19" t="s">
        <v>13</v>
      </c>
      <c r="I6" s="19" t="s">
        <v>13</v>
      </c>
      <c r="J6" s="18">
        <v>20</v>
      </c>
      <c r="K6" s="19">
        <v>1</v>
      </c>
      <c r="L6" s="16">
        <v>11256</v>
      </c>
      <c r="M6" s="18">
        <v>1549</v>
      </c>
      <c r="N6" s="20">
        <v>46276</v>
      </c>
      <c r="O6" s="40" t="s">
        <v>44</v>
      </c>
    </row>
    <row r="7" spans="1:15" s="2" customFormat="1" ht="24.9" customHeight="1">
      <c r="A7" s="14">
        <v>5</v>
      </c>
      <c r="B7" s="14">
        <v>7</v>
      </c>
      <c r="C7" s="15" t="s">
        <v>410</v>
      </c>
      <c r="D7" s="16">
        <v>10744.34</v>
      </c>
      <c r="E7" s="16">
        <v>24826.5</v>
      </c>
      <c r="F7" s="10">
        <f>(D7-E7)/E7</f>
        <v>-0.56722292711417233</v>
      </c>
      <c r="G7" s="18">
        <v>1349</v>
      </c>
      <c r="H7" s="18">
        <v>45</v>
      </c>
      <c r="I7" s="19">
        <f>G7/H7</f>
        <v>29.977777777777778</v>
      </c>
      <c r="J7" s="18">
        <v>11</v>
      </c>
      <c r="K7" s="12">
        <v>2</v>
      </c>
      <c r="L7" s="16">
        <v>44420</v>
      </c>
      <c r="M7" s="18">
        <v>5955</v>
      </c>
      <c r="N7" s="20">
        <v>46269</v>
      </c>
      <c r="O7" s="40" t="s">
        <v>94</v>
      </c>
    </row>
    <row r="8" spans="1:15" s="2" customFormat="1" ht="24.9" customHeight="1">
      <c r="A8" s="14">
        <v>6</v>
      </c>
      <c r="B8" s="14">
        <v>5</v>
      </c>
      <c r="C8" s="15" t="s">
        <v>414</v>
      </c>
      <c r="D8" s="16">
        <v>10673.76</v>
      </c>
      <c r="E8" s="16">
        <v>20642.89</v>
      </c>
      <c r="F8" s="10">
        <f>(D8-E8)/E8</f>
        <v>-0.48293286453592493</v>
      </c>
      <c r="G8" s="18">
        <v>1699</v>
      </c>
      <c r="H8" s="18">
        <v>80</v>
      </c>
      <c r="I8" s="19">
        <f>G8/H8</f>
        <v>21.237500000000001</v>
      </c>
      <c r="J8" s="18">
        <v>15</v>
      </c>
      <c r="K8" s="12">
        <v>2</v>
      </c>
      <c r="L8" s="16">
        <v>37342.11</v>
      </c>
      <c r="M8" s="18">
        <v>6169</v>
      </c>
      <c r="N8" s="20">
        <v>46269</v>
      </c>
      <c r="O8" s="40" t="s">
        <v>42</v>
      </c>
    </row>
    <row r="9" spans="1:15" ht="24.9" customHeight="1">
      <c r="A9" s="14">
        <v>7</v>
      </c>
      <c r="B9" s="14">
        <v>3</v>
      </c>
      <c r="C9" s="15" t="s">
        <v>393</v>
      </c>
      <c r="D9" s="16">
        <v>10355.09</v>
      </c>
      <c r="E9" s="16">
        <v>22996.11</v>
      </c>
      <c r="F9" s="10">
        <f>(D9-E9)/E9</f>
        <v>-0.54970253664641544</v>
      </c>
      <c r="G9" s="18">
        <v>1268</v>
      </c>
      <c r="H9" s="18">
        <v>31</v>
      </c>
      <c r="I9" s="19">
        <f>G9/H9</f>
        <v>40.903225806451616</v>
      </c>
      <c r="J9" s="18">
        <v>11</v>
      </c>
      <c r="K9" s="12">
        <v>4</v>
      </c>
      <c r="L9" s="16">
        <v>194769.84</v>
      </c>
      <c r="M9" s="18">
        <v>24717</v>
      </c>
      <c r="N9" s="20">
        <v>46255</v>
      </c>
      <c r="O9" s="39" t="s">
        <v>39</v>
      </c>
    </row>
    <row r="10" spans="1:15" ht="24.9" customHeight="1">
      <c r="A10" s="14">
        <v>8</v>
      </c>
      <c r="B10" s="14">
        <v>4</v>
      </c>
      <c r="C10" s="15" t="s">
        <v>384</v>
      </c>
      <c r="D10" s="16">
        <v>10240.129999999999</v>
      </c>
      <c r="E10" s="16">
        <v>22481.74</v>
      </c>
      <c r="F10" s="10">
        <f>(D10-E10)/E10</f>
        <v>-0.54451345847785815</v>
      </c>
      <c r="G10" s="18">
        <v>1672</v>
      </c>
      <c r="H10" s="18">
        <v>81</v>
      </c>
      <c r="I10" s="19">
        <f>G10/H10</f>
        <v>20.641975308641975</v>
      </c>
      <c r="J10" s="18">
        <v>14</v>
      </c>
      <c r="K10" s="12">
        <v>5</v>
      </c>
      <c r="L10" s="16">
        <v>282365</v>
      </c>
      <c r="M10" s="18">
        <v>47794</v>
      </c>
      <c r="N10" s="20">
        <v>46249</v>
      </c>
      <c r="O10" s="40" t="s">
        <v>310</v>
      </c>
    </row>
    <row r="11" spans="1:15" ht="24.9" customHeight="1">
      <c r="A11" s="14">
        <v>9</v>
      </c>
      <c r="B11" s="19" t="s">
        <v>49</v>
      </c>
      <c r="C11" s="15" t="s">
        <v>421</v>
      </c>
      <c r="D11" s="16">
        <v>8386</v>
      </c>
      <c r="E11" s="19" t="s">
        <v>13</v>
      </c>
      <c r="F11" s="19" t="s">
        <v>13</v>
      </c>
      <c r="G11" s="18">
        <v>1397</v>
      </c>
      <c r="H11" s="19" t="s">
        <v>13</v>
      </c>
      <c r="I11" s="19" t="s">
        <v>13</v>
      </c>
      <c r="J11" s="18">
        <v>16</v>
      </c>
      <c r="K11" s="19">
        <v>1</v>
      </c>
      <c r="L11" s="16">
        <v>8386</v>
      </c>
      <c r="M11" s="18">
        <v>1397</v>
      </c>
      <c r="N11" s="20">
        <v>46276</v>
      </c>
      <c r="O11" s="40" t="s">
        <v>44</v>
      </c>
    </row>
    <row r="12" spans="1:15" ht="24.6" customHeight="1">
      <c r="A12" s="14">
        <v>10</v>
      </c>
      <c r="B12" s="14">
        <v>10</v>
      </c>
      <c r="C12" s="15" t="s">
        <v>343</v>
      </c>
      <c r="D12" s="16">
        <v>7243.56</v>
      </c>
      <c r="E12" s="16">
        <v>11096.25</v>
      </c>
      <c r="F12" s="10">
        <f>(D12-E12)/E12</f>
        <v>-0.34720648867860759</v>
      </c>
      <c r="G12" s="18">
        <v>1129</v>
      </c>
      <c r="H12" s="18">
        <v>43</v>
      </c>
      <c r="I12" s="19">
        <f t="shared" ref="I12:I20" si="0">G12/H12</f>
        <v>26.255813953488371</v>
      </c>
      <c r="J12" s="18">
        <v>12</v>
      </c>
      <c r="K12" s="12">
        <v>11</v>
      </c>
      <c r="L12" s="16">
        <v>1070796</v>
      </c>
      <c r="M12" s="18">
        <v>165391</v>
      </c>
      <c r="N12" s="20">
        <v>46204</v>
      </c>
      <c r="O12" s="40" t="s">
        <v>207</v>
      </c>
    </row>
    <row r="13" spans="1:15" s="90" customFormat="1" ht="24.9" customHeight="1">
      <c r="A13" s="14">
        <v>11</v>
      </c>
      <c r="B13" s="14">
        <v>9</v>
      </c>
      <c r="C13" s="15" t="s">
        <v>406</v>
      </c>
      <c r="D13" s="16">
        <v>6509.45</v>
      </c>
      <c r="E13" s="16">
        <v>13224.64</v>
      </c>
      <c r="F13" s="10">
        <f>(D13-E13)/E13</f>
        <v>-0.50777866164976893</v>
      </c>
      <c r="G13" s="18">
        <v>1070</v>
      </c>
      <c r="H13" s="18">
        <v>47</v>
      </c>
      <c r="I13" s="19">
        <f t="shared" si="0"/>
        <v>22.76595744680851</v>
      </c>
      <c r="J13" s="18">
        <v>13</v>
      </c>
      <c r="K13" s="12">
        <v>3</v>
      </c>
      <c r="L13" s="16">
        <v>47382.54</v>
      </c>
      <c r="M13" s="18">
        <v>7744</v>
      </c>
      <c r="N13" s="20">
        <v>46262</v>
      </c>
      <c r="O13" s="40" t="s">
        <v>46</v>
      </c>
    </row>
    <row r="14" spans="1:15" s="90" customFormat="1" ht="24.9" customHeight="1">
      <c r="A14" s="14">
        <v>12</v>
      </c>
      <c r="B14" s="19" t="s">
        <v>49</v>
      </c>
      <c r="C14" s="15" t="s">
        <v>423</v>
      </c>
      <c r="D14" s="16">
        <v>6161.31</v>
      </c>
      <c r="E14" s="19" t="s">
        <v>13</v>
      </c>
      <c r="F14" s="19" t="s">
        <v>13</v>
      </c>
      <c r="G14" s="18">
        <v>773</v>
      </c>
      <c r="H14" s="18">
        <v>36</v>
      </c>
      <c r="I14" s="19">
        <f t="shared" si="0"/>
        <v>21.472222222222221</v>
      </c>
      <c r="J14" s="18">
        <v>14</v>
      </c>
      <c r="K14" s="19">
        <v>1</v>
      </c>
      <c r="L14" s="16">
        <v>6161.31</v>
      </c>
      <c r="M14" s="18">
        <v>773</v>
      </c>
      <c r="N14" s="20">
        <v>46276</v>
      </c>
      <c r="O14" s="40" t="s">
        <v>42</v>
      </c>
    </row>
    <row r="15" spans="1:15" s="90" customFormat="1" ht="24.9" customHeight="1">
      <c r="A15" s="14">
        <v>13</v>
      </c>
      <c r="B15" s="19" t="s">
        <v>49</v>
      </c>
      <c r="C15" s="15" t="s">
        <v>417</v>
      </c>
      <c r="D15" s="16">
        <v>5881.93</v>
      </c>
      <c r="E15" s="19" t="s">
        <v>13</v>
      </c>
      <c r="F15" s="19" t="s">
        <v>13</v>
      </c>
      <c r="G15" s="18">
        <v>629</v>
      </c>
      <c r="H15" s="18">
        <v>33</v>
      </c>
      <c r="I15" s="19">
        <f t="shared" si="0"/>
        <v>19.060606060606062</v>
      </c>
      <c r="J15" s="18">
        <v>15</v>
      </c>
      <c r="K15" s="19">
        <v>1</v>
      </c>
      <c r="L15" s="16">
        <v>5882</v>
      </c>
      <c r="M15" s="18">
        <v>629</v>
      </c>
      <c r="N15" s="20">
        <v>46276</v>
      </c>
      <c r="O15" s="40" t="s">
        <v>37</v>
      </c>
    </row>
    <row r="16" spans="1:15" ht="24.9" customHeight="1">
      <c r="A16" s="14">
        <v>14</v>
      </c>
      <c r="B16" s="19" t="s">
        <v>49</v>
      </c>
      <c r="C16" s="15" t="s">
        <v>418</v>
      </c>
      <c r="D16" s="16">
        <v>4049.26</v>
      </c>
      <c r="E16" s="19" t="s">
        <v>13</v>
      </c>
      <c r="F16" s="19" t="s">
        <v>13</v>
      </c>
      <c r="G16" s="18">
        <v>535</v>
      </c>
      <c r="H16" s="18">
        <v>25</v>
      </c>
      <c r="I16" s="19">
        <f t="shared" si="0"/>
        <v>21.4</v>
      </c>
      <c r="J16" s="18">
        <v>12</v>
      </c>
      <c r="K16" s="19">
        <v>1</v>
      </c>
      <c r="L16" s="16">
        <v>4049</v>
      </c>
      <c r="M16" s="18">
        <v>535</v>
      </c>
      <c r="N16" s="20">
        <v>46276</v>
      </c>
      <c r="O16" s="40" t="s">
        <v>94</v>
      </c>
    </row>
    <row r="17" spans="1:15" ht="24.9" customHeight="1">
      <c r="A17" s="14">
        <v>15</v>
      </c>
      <c r="B17" s="19" t="s">
        <v>49</v>
      </c>
      <c r="C17" s="15" t="s">
        <v>425</v>
      </c>
      <c r="D17" s="16">
        <v>3726.24</v>
      </c>
      <c r="E17" s="19" t="s">
        <v>13</v>
      </c>
      <c r="F17" s="19" t="s">
        <v>13</v>
      </c>
      <c r="G17" s="18">
        <v>491</v>
      </c>
      <c r="H17" s="18">
        <v>38</v>
      </c>
      <c r="I17" s="19">
        <f t="shared" si="0"/>
        <v>12.921052631578947</v>
      </c>
      <c r="J17" s="18">
        <v>13</v>
      </c>
      <c r="K17" s="19">
        <v>1</v>
      </c>
      <c r="L17" s="16">
        <v>3726.24</v>
      </c>
      <c r="M17" s="18">
        <v>491</v>
      </c>
      <c r="N17" s="20">
        <v>46276</v>
      </c>
      <c r="O17" s="40" t="s">
        <v>426</v>
      </c>
    </row>
    <row r="18" spans="1:15" ht="24.9" customHeight="1">
      <c r="A18" s="14">
        <v>16</v>
      </c>
      <c r="B18" s="14">
        <v>6</v>
      </c>
      <c r="C18" s="78" t="s">
        <v>405</v>
      </c>
      <c r="D18" s="16">
        <v>3328.17</v>
      </c>
      <c r="E18" s="16">
        <v>15537.9</v>
      </c>
      <c r="F18" s="10">
        <f t="shared" ref="F18:F31" si="1">(D18-E18)/E18</f>
        <v>-0.78580310080512805</v>
      </c>
      <c r="G18" s="18">
        <v>428</v>
      </c>
      <c r="H18" s="18">
        <v>19</v>
      </c>
      <c r="I18" s="19">
        <f t="shared" si="0"/>
        <v>22.526315789473685</v>
      </c>
      <c r="J18" s="18">
        <v>9</v>
      </c>
      <c r="K18" s="12">
        <v>3</v>
      </c>
      <c r="L18" s="16">
        <v>53692</v>
      </c>
      <c r="M18" s="18">
        <v>7001</v>
      </c>
      <c r="N18" s="20">
        <v>46262</v>
      </c>
      <c r="O18" s="40" t="s">
        <v>37</v>
      </c>
    </row>
    <row r="19" spans="1:15" ht="24.9" customHeight="1">
      <c r="A19" s="14">
        <v>17</v>
      </c>
      <c r="B19" s="14">
        <v>11</v>
      </c>
      <c r="C19" s="15" t="s">
        <v>397</v>
      </c>
      <c r="D19" s="16">
        <v>2802.93</v>
      </c>
      <c r="E19" s="16">
        <v>8660.56</v>
      </c>
      <c r="F19" s="10">
        <f t="shared" si="1"/>
        <v>-0.67635695613216695</v>
      </c>
      <c r="G19" s="18">
        <v>387</v>
      </c>
      <c r="H19" s="18">
        <v>19</v>
      </c>
      <c r="I19" s="19">
        <f t="shared" si="0"/>
        <v>20.368421052631579</v>
      </c>
      <c r="J19" s="18">
        <v>8</v>
      </c>
      <c r="K19" s="12">
        <v>3</v>
      </c>
      <c r="L19" s="16">
        <v>31692</v>
      </c>
      <c r="M19" s="18">
        <v>4597</v>
      </c>
      <c r="N19" s="20">
        <v>46262</v>
      </c>
      <c r="O19" s="40" t="s">
        <v>94</v>
      </c>
    </row>
    <row r="20" spans="1:15" ht="24.9" customHeight="1">
      <c r="A20" s="14">
        <v>18</v>
      </c>
      <c r="B20" s="14">
        <v>12</v>
      </c>
      <c r="C20" s="15" t="s">
        <v>400</v>
      </c>
      <c r="D20" s="16">
        <v>1808.23</v>
      </c>
      <c r="E20" s="16">
        <v>3872.09</v>
      </c>
      <c r="F20" s="10">
        <f t="shared" si="1"/>
        <v>-0.53300930505231026</v>
      </c>
      <c r="G20" s="18">
        <v>391</v>
      </c>
      <c r="H20" s="18">
        <v>12</v>
      </c>
      <c r="I20" s="19">
        <f t="shared" si="0"/>
        <v>32.583333333333336</v>
      </c>
      <c r="J20" s="18">
        <v>5</v>
      </c>
      <c r="K20" s="12">
        <v>3</v>
      </c>
      <c r="L20" s="16">
        <v>17100.78</v>
      </c>
      <c r="M20" s="18">
        <v>3072</v>
      </c>
      <c r="N20" s="20">
        <v>46262</v>
      </c>
      <c r="O20" s="40" t="s">
        <v>42</v>
      </c>
    </row>
    <row r="21" spans="1:15" ht="24.9" customHeight="1">
      <c r="A21" s="14">
        <v>19</v>
      </c>
      <c r="B21" s="14">
        <v>13</v>
      </c>
      <c r="C21" s="15" t="s">
        <v>398</v>
      </c>
      <c r="D21" s="16">
        <v>1175</v>
      </c>
      <c r="E21" s="16">
        <v>3722</v>
      </c>
      <c r="F21" s="10">
        <f t="shared" si="1"/>
        <v>-0.68430951101558302</v>
      </c>
      <c r="G21" s="18">
        <v>136</v>
      </c>
      <c r="H21" s="19" t="s">
        <v>13</v>
      </c>
      <c r="I21" s="19" t="s">
        <v>13</v>
      </c>
      <c r="J21" s="18">
        <v>4</v>
      </c>
      <c r="K21" s="19">
        <v>3</v>
      </c>
      <c r="L21" s="16">
        <v>13874</v>
      </c>
      <c r="M21" s="18">
        <v>1860</v>
      </c>
      <c r="N21" s="20">
        <v>46262</v>
      </c>
      <c r="O21" s="40" t="s">
        <v>44</v>
      </c>
    </row>
    <row r="22" spans="1:15" ht="24.9" customHeight="1">
      <c r="A22" s="14">
        <v>20</v>
      </c>
      <c r="B22" s="14">
        <v>16</v>
      </c>
      <c r="C22" s="15" t="s">
        <v>346</v>
      </c>
      <c r="D22" s="16">
        <v>1168.1300000000001</v>
      </c>
      <c r="E22" s="16">
        <v>2180.17</v>
      </c>
      <c r="F22" s="10">
        <f t="shared" si="1"/>
        <v>-0.46420233284560375</v>
      </c>
      <c r="G22" s="18">
        <v>159</v>
      </c>
      <c r="H22" s="18">
        <v>6</v>
      </c>
      <c r="I22" s="19">
        <f t="shared" ref="I22:I31" si="2">G22/H22</f>
        <v>26.5</v>
      </c>
      <c r="J22" s="18">
        <v>3</v>
      </c>
      <c r="K22" s="12">
        <v>11</v>
      </c>
      <c r="L22" s="16">
        <v>153554.41</v>
      </c>
      <c r="M22" s="18">
        <v>20101</v>
      </c>
      <c r="N22" s="20">
        <v>46206</v>
      </c>
      <c r="O22" s="40" t="s">
        <v>42</v>
      </c>
    </row>
    <row r="23" spans="1:15" ht="24.9" customHeight="1">
      <c r="A23" s="14">
        <v>21</v>
      </c>
      <c r="B23" s="14">
        <v>20</v>
      </c>
      <c r="C23" s="15" t="s">
        <v>321</v>
      </c>
      <c r="D23" s="16">
        <v>501</v>
      </c>
      <c r="E23" s="16">
        <v>516</v>
      </c>
      <c r="F23" s="10">
        <f t="shared" si="1"/>
        <v>-2.9069767441860465E-2</v>
      </c>
      <c r="G23" s="18">
        <v>61</v>
      </c>
      <c r="H23" s="18">
        <v>2</v>
      </c>
      <c r="I23" s="19">
        <f t="shared" si="2"/>
        <v>30.5</v>
      </c>
      <c r="J23" s="18">
        <v>1</v>
      </c>
      <c r="K23" s="12">
        <v>14</v>
      </c>
      <c r="L23" s="16">
        <v>434553</v>
      </c>
      <c r="M23" s="18">
        <v>55500</v>
      </c>
      <c r="N23" s="20">
        <v>46185</v>
      </c>
      <c r="O23" s="40" t="s">
        <v>94</v>
      </c>
    </row>
    <row r="24" spans="1:15" ht="24.9" customHeight="1">
      <c r="A24" s="14">
        <v>22</v>
      </c>
      <c r="B24" s="14">
        <v>18</v>
      </c>
      <c r="C24" s="15" t="s">
        <v>386</v>
      </c>
      <c r="D24" s="16">
        <v>472.79</v>
      </c>
      <c r="E24" s="16">
        <v>1297.79</v>
      </c>
      <c r="F24" s="10">
        <f t="shared" si="1"/>
        <v>-0.63569606793086708</v>
      </c>
      <c r="G24" s="18">
        <v>57</v>
      </c>
      <c r="H24" s="18">
        <v>3</v>
      </c>
      <c r="I24" s="19">
        <f t="shared" si="2"/>
        <v>19</v>
      </c>
      <c r="J24" s="18">
        <v>2</v>
      </c>
      <c r="K24" s="12">
        <v>5</v>
      </c>
      <c r="L24" s="16">
        <v>58676.1</v>
      </c>
      <c r="M24" s="18">
        <v>8109</v>
      </c>
      <c r="N24" s="20">
        <v>46248</v>
      </c>
      <c r="O24" s="40" t="s">
        <v>55</v>
      </c>
    </row>
    <row r="25" spans="1:15" ht="24.9" customHeight="1">
      <c r="A25" s="14">
        <v>23</v>
      </c>
      <c r="B25" s="14">
        <v>14</v>
      </c>
      <c r="C25" s="15" t="s">
        <v>399</v>
      </c>
      <c r="D25" s="16">
        <v>386.3</v>
      </c>
      <c r="E25" s="16">
        <v>2771.25</v>
      </c>
      <c r="F25" s="10">
        <f t="shared" si="1"/>
        <v>-0.86060442038791152</v>
      </c>
      <c r="G25" s="18">
        <v>43</v>
      </c>
      <c r="H25" s="18">
        <v>2</v>
      </c>
      <c r="I25" s="19">
        <f t="shared" si="2"/>
        <v>21.5</v>
      </c>
      <c r="J25" s="18">
        <v>1</v>
      </c>
      <c r="K25" s="12">
        <v>3</v>
      </c>
      <c r="L25" s="16">
        <v>17673.169999999998</v>
      </c>
      <c r="M25" s="18">
        <v>2307</v>
      </c>
      <c r="N25" s="20">
        <v>46262</v>
      </c>
      <c r="O25" s="40" t="s">
        <v>42</v>
      </c>
    </row>
    <row r="26" spans="1:15" ht="24.9" customHeight="1">
      <c r="A26" s="14">
        <v>24</v>
      </c>
      <c r="B26" s="14">
        <v>17</v>
      </c>
      <c r="C26" s="15" t="s">
        <v>390</v>
      </c>
      <c r="D26" s="16">
        <v>379.71</v>
      </c>
      <c r="E26" s="16">
        <v>1999.21</v>
      </c>
      <c r="F26" s="10">
        <f t="shared" si="1"/>
        <v>-0.81006997764116828</v>
      </c>
      <c r="G26" s="18">
        <v>46</v>
      </c>
      <c r="H26" s="18">
        <v>3</v>
      </c>
      <c r="I26" s="19">
        <f t="shared" si="2"/>
        <v>15.333333333333334</v>
      </c>
      <c r="J26" s="18">
        <v>1</v>
      </c>
      <c r="K26" s="12">
        <v>4</v>
      </c>
      <c r="L26" s="16">
        <v>40323</v>
      </c>
      <c r="M26" s="18">
        <v>5443</v>
      </c>
      <c r="N26" s="20">
        <v>46255</v>
      </c>
      <c r="O26" s="40" t="s">
        <v>94</v>
      </c>
    </row>
    <row r="27" spans="1:15" ht="24.9" customHeight="1">
      <c r="A27" s="14">
        <v>25</v>
      </c>
      <c r="B27" s="14">
        <v>15</v>
      </c>
      <c r="C27" s="15" t="s">
        <v>394</v>
      </c>
      <c r="D27" s="16">
        <v>357.35</v>
      </c>
      <c r="E27" s="16">
        <v>2616.14</v>
      </c>
      <c r="F27" s="10">
        <f t="shared" si="1"/>
        <v>-0.86340562813916688</v>
      </c>
      <c r="G27" s="18">
        <v>47</v>
      </c>
      <c r="H27" s="18">
        <v>5</v>
      </c>
      <c r="I27" s="19">
        <f t="shared" si="2"/>
        <v>9.4</v>
      </c>
      <c r="J27" s="18">
        <v>4</v>
      </c>
      <c r="K27" s="12">
        <v>4</v>
      </c>
      <c r="L27" s="16">
        <v>53053.7</v>
      </c>
      <c r="M27" s="18">
        <v>6600</v>
      </c>
      <c r="N27" s="20">
        <v>46255</v>
      </c>
      <c r="O27" s="40" t="s">
        <v>42</v>
      </c>
    </row>
    <row r="28" spans="1:15" ht="24.9" customHeight="1">
      <c r="A28" s="14">
        <v>26</v>
      </c>
      <c r="B28" s="14">
        <v>23</v>
      </c>
      <c r="C28" s="15" t="s">
        <v>235</v>
      </c>
      <c r="D28" s="16">
        <v>226.35</v>
      </c>
      <c r="E28" s="16">
        <v>205.95</v>
      </c>
      <c r="F28" s="10">
        <f t="shared" si="1"/>
        <v>9.905316824471963E-2</v>
      </c>
      <c r="G28" s="18">
        <v>27</v>
      </c>
      <c r="H28" s="18">
        <v>3</v>
      </c>
      <c r="I28" s="19">
        <f t="shared" si="2"/>
        <v>9</v>
      </c>
      <c r="J28" s="18">
        <v>3</v>
      </c>
      <c r="K28" s="12">
        <v>23</v>
      </c>
      <c r="L28" s="16">
        <v>206486.32</v>
      </c>
      <c r="M28" s="18">
        <v>28490</v>
      </c>
      <c r="N28" s="20">
        <v>46122</v>
      </c>
      <c r="O28" s="40" t="s">
        <v>47</v>
      </c>
    </row>
    <row r="29" spans="1:15" ht="24.9" customHeight="1">
      <c r="A29" s="14">
        <v>27</v>
      </c>
      <c r="B29" s="19">
        <v>27</v>
      </c>
      <c r="C29" s="15" t="s">
        <v>392</v>
      </c>
      <c r="D29" s="16">
        <v>114.45</v>
      </c>
      <c r="E29" s="16">
        <v>55</v>
      </c>
      <c r="F29" s="10">
        <f t="shared" si="1"/>
        <v>1.080909090909091</v>
      </c>
      <c r="G29" s="18">
        <v>20</v>
      </c>
      <c r="H29" s="18">
        <v>2</v>
      </c>
      <c r="I29" s="19">
        <f t="shared" si="2"/>
        <v>10</v>
      </c>
      <c r="J29" s="18">
        <v>3</v>
      </c>
      <c r="K29" s="19">
        <v>4</v>
      </c>
      <c r="L29" s="16">
        <v>4274.32</v>
      </c>
      <c r="M29" s="18">
        <v>778</v>
      </c>
      <c r="N29" s="20">
        <v>46255</v>
      </c>
      <c r="O29" s="40" t="s">
        <v>86</v>
      </c>
    </row>
    <row r="30" spans="1:15" ht="24.9" customHeight="1">
      <c r="A30" s="14">
        <v>28</v>
      </c>
      <c r="B30" s="14">
        <v>28</v>
      </c>
      <c r="C30" s="8" t="s">
        <v>78</v>
      </c>
      <c r="D30" s="16">
        <v>102.5</v>
      </c>
      <c r="E30" s="16">
        <v>47.7</v>
      </c>
      <c r="F30" s="10">
        <f t="shared" si="1"/>
        <v>1.1488469601677147</v>
      </c>
      <c r="G30" s="18">
        <v>12</v>
      </c>
      <c r="H30" s="18">
        <v>2</v>
      </c>
      <c r="I30" s="19">
        <f t="shared" si="2"/>
        <v>6</v>
      </c>
      <c r="J30" s="18">
        <v>2</v>
      </c>
      <c r="K30" s="12">
        <v>35</v>
      </c>
      <c r="L30" s="16">
        <v>154222.82</v>
      </c>
      <c r="M30" s="18">
        <v>21341</v>
      </c>
      <c r="N30" s="20">
        <v>46038</v>
      </c>
      <c r="O30" s="40" t="s">
        <v>47</v>
      </c>
    </row>
    <row r="31" spans="1:15" ht="24.9" customHeight="1">
      <c r="A31" s="14">
        <v>29</v>
      </c>
      <c r="B31" s="14">
        <v>29</v>
      </c>
      <c r="C31" s="8" t="s">
        <v>329</v>
      </c>
      <c r="D31" s="16">
        <v>63</v>
      </c>
      <c r="E31" s="16">
        <v>14</v>
      </c>
      <c r="F31" s="10">
        <f t="shared" si="1"/>
        <v>3.5</v>
      </c>
      <c r="G31" s="18">
        <v>9</v>
      </c>
      <c r="H31" s="18">
        <v>1</v>
      </c>
      <c r="I31" s="19">
        <f t="shared" si="2"/>
        <v>9</v>
      </c>
      <c r="J31" s="18">
        <v>1</v>
      </c>
      <c r="K31" s="19" t="s">
        <v>13</v>
      </c>
      <c r="L31" s="16">
        <v>5120.22</v>
      </c>
      <c r="M31" s="18">
        <v>751</v>
      </c>
      <c r="N31" s="13">
        <v>46192</v>
      </c>
      <c r="O31" s="39" t="s">
        <v>46</v>
      </c>
    </row>
    <row r="32" spans="1:15" s="76" customFormat="1" ht="24.9" customHeight="1">
      <c r="A32" s="14">
        <v>30</v>
      </c>
      <c r="B32" s="19" t="s">
        <v>13</v>
      </c>
      <c r="C32" s="15" t="s">
        <v>318</v>
      </c>
      <c r="D32" s="16">
        <v>35</v>
      </c>
      <c r="E32" s="19" t="s">
        <v>13</v>
      </c>
      <c r="F32" s="19" t="s">
        <v>13</v>
      </c>
      <c r="G32" s="18">
        <v>5</v>
      </c>
      <c r="H32" s="19" t="s">
        <v>13</v>
      </c>
      <c r="I32" s="19" t="s">
        <v>13</v>
      </c>
      <c r="J32" s="18">
        <v>1</v>
      </c>
      <c r="K32" s="19" t="s">
        <v>13</v>
      </c>
      <c r="L32" s="16">
        <v>17324</v>
      </c>
      <c r="M32" s="18">
        <v>2819</v>
      </c>
      <c r="N32" s="20">
        <v>46185</v>
      </c>
      <c r="O32" s="39" t="s">
        <v>44</v>
      </c>
    </row>
    <row r="33" spans="1:15" s="76" customFormat="1" ht="24.9" customHeight="1">
      <c r="A33" s="14">
        <v>31</v>
      </c>
      <c r="B33" s="19" t="s">
        <v>13</v>
      </c>
      <c r="C33" s="15" t="s">
        <v>317</v>
      </c>
      <c r="D33" s="16">
        <v>0</v>
      </c>
      <c r="E33" s="19" t="s">
        <v>13</v>
      </c>
      <c r="F33" s="19" t="s">
        <v>13</v>
      </c>
      <c r="G33" s="18">
        <v>0</v>
      </c>
      <c r="H33" s="18">
        <v>1</v>
      </c>
      <c r="I33" s="19">
        <f>G33/H33</f>
        <v>0</v>
      </c>
      <c r="J33" s="18">
        <v>1</v>
      </c>
      <c r="K33" s="19">
        <v>26</v>
      </c>
      <c r="L33" s="16">
        <v>177</v>
      </c>
      <c r="M33" s="18">
        <v>30</v>
      </c>
      <c r="N33" s="20">
        <v>46106</v>
      </c>
      <c r="O33" s="40" t="s">
        <v>47</v>
      </c>
    </row>
    <row r="34" spans="1:15" s="76" customFormat="1" ht="24.9" customHeight="1">
      <c r="A34" s="14">
        <v>32</v>
      </c>
      <c r="B34" s="19" t="s">
        <v>13</v>
      </c>
      <c r="C34" s="81" t="s">
        <v>333</v>
      </c>
      <c r="D34" s="16">
        <v>0</v>
      </c>
      <c r="E34" s="19" t="s">
        <v>13</v>
      </c>
      <c r="F34" s="19" t="s">
        <v>13</v>
      </c>
      <c r="G34" s="18">
        <v>0</v>
      </c>
      <c r="H34" s="18">
        <v>1</v>
      </c>
      <c r="I34" s="19">
        <f>G34/H34</f>
        <v>0</v>
      </c>
      <c r="J34" s="18">
        <v>1</v>
      </c>
      <c r="K34" s="19">
        <v>17</v>
      </c>
      <c r="L34" s="16">
        <v>68.5</v>
      </c>
      <c r="M34" s="18">
        <v>15</v>
      </c>
      <c r="N34" s="20">
        <v>46104</v>
      </c>
      <c r="O34" s="40" t="s">
        <v>47</v>
      </c>
    </row>
    <row r="35" spans="1:15" s="1" customFormat="1" ht="24.75" customHeight="1">
      <c r="A35" s="25"/>
      <c r="B35" s="50" t="s">
        <v>14</v>
      </c>
      <c r="C35" s="29" t="s">
        <v>430</v>
      </c>
      <c r="D35" s="92">
        <f>SUBTOTAL(109,Table1324567891011121314151617181920212223242526272829303132333435363738[Pajamos 
(GBO)])</f>
        <v>213341.77000000002</v>
      </c>
      <c r="E35" s="92">
        <f>SUBTOTAL(109,Table1324567891011121314151617181920212223242526272829303132333435363738[Pajamos 
praeita sav.
(GBO LW)])</f>
        <v>259424.19000000003</v>
      </c>
      <c r="F35" s="43">
        <f t="shared" ref="F35" si="3">(D35-E35)/E35</f>
        <v>-0.17763347357854334</v>
      </c>
      <c r="G35" s="93">
        <f>SUBTOTAL(109,Table1324567891011121314151617181920212223242526272829303132333435363738[Žiūrovų sk. 
(ADM)])</f>
        <v>26693</v>
      </c>
      <c r="H35" s="36"/>
      <c r="I35" s="25"/>
      <c r="J35" s="36"/>
      <c r="K35" s="48"/>
      <c r="L35" s="32"/>
      <c r="M35" s="36"/>
      <c r="N35" s="38"/>
      <c r="O35" s="41"/>
    </row>
    <row r="36" spans="1:15"/>
    <row r="37" spans="1:15"/>
    <row r="38" spans="1:15" ht="9" customHeight="1"/>
    <row r="39" spans="1:15"/>
    <row r="40" spans="1:15"/>
    <row r="41" spans="1:15"/>
    <row r="42" spans="1:15"/>
    <row r="43" spans="1:15"/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471B6-DCF7-44F2-9DBB-C709F0596FF5}">
  <dimension ref="A1:XFC623"/>
  <sheetViews>
    <sheetView topLeftCell="A6" zoomScale="70" zoomScaleNormal="70" workbookViewId="0">
      <selection activeCell="C22" sqref="C22:O22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6" t="s">
        <v>413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4">
        <v>2</v>
      </c>
      <c r="C3" s="15" t="s">
        <v>357</v>
      </c>
      <c r="D3" s="16">
        <v>59626.43</v>
      </c>
      <c r="E3" s="16">
        <v>43285.35</v>
      </c>
      <c r="F3" s="10">
        <f>(D3-E3)/E3</f>
        <v>0.3775198768174452</v>
      </c>
      <c r="G3" s="18">
        <v>6146</v>
      </c>
      <c r="H3" s="18">
        <v>68</v>
      </c>
      <c r="I3" s="19">
        <f t="shared" ref="I3:I14" si="0">G3/H3</f>
        <v>90.382352941176464</v>
      </c>
      <c r="J3" s="18">
        <v>12</v>
      </c>
      <c r="K3" s="12">
        <v>8</v>
      </c>
      <c r="L3" s="16">
        <v>1539192</v>
      </c>
      <c r="M3" s="18">
        <v>170747</v>
      </c>
      <c r="N3" s="20">
        <v>46220</v>
      </c>
      <c r="O3" s="40" t="s">
        <v>207</v>
      </c>
    </row>
    <row r="4" spans="1:15" s="2" customFormat="1" ht="24.9" customHeight="1">
      <c r="A4" s="14">
        <v>2</v>
      </c>
      <c r="B4" s="14">
        <v>1</v>
      </c>
      <c r="C4" s="15" t="s">
        <v>370</v>
      </c>
      <c r="D4" s="16">
        <v>41033.870000000003</v>
      </c>
      <c r="E4" s="16">
        <v>46380.44</v>
      </c>
      <c r="F4" s="10">
        <f>(D4-E4)/E4</f>
        <v>-0.11527639668791412</v>
      </c>
      <c r="G4" s="18">
        <v>4539</v>
      </c>
      <c r="H4" s="18">
        <v>115</v>
      </c>
      <c r="I4" s="19">
        <f t="shared" si="0"/>
        <v>39.469565217391306</v>
      </c>
      <c r="J4" s="18">
        <v>12</v>
      </c>
      <c r="K4" s="12">
        <v>6</v>
      </c>
      <c r="L4" s="16">
        <v>1207181.74</v>
      </c>
      <c r="M4" s="18">
        <v>148137</v>
      </c>
      <c r="N4" s="20">
        <v>46233</v>
      </c>
      <c r="O4" s="39" t="s">
        <v>39</v>
      </c>
    </row>
    <row r="5" spans="1:15" s="2" customFormat="1" ht="24.9" customHeight="1">
      <c r="A5" s="14">
        <v>7</v>
      </c>
      <c r="B5" s="19" t="s">
        <v>49</v>
      </c>
      <c r="C5" s="15" t="s">
        <v>410</v>
      </c>
      <c r="D5" s="16">
        <v>24826.5</v>
      </c>
      <c r="E5" s="19" t="s">
        <v>13</v>
      </c>
      <c r="F5" s="19" t="s">
        <v>13</v>
      </c>
      <c r="G5" s="18">
        <v>3169</v>
      </c>
      <c r="H5" s="18">
        <v>81</v>
      </c>
      <c r="I5" s="19">
        <f t="shared" si="0"/>
        <v>39.123456790123456</v>
      </c>
      <c r="J5" s="18">
        <v>16</v>
      </c>
      <c r="K5" s="12">
        <v>1</v>
      </c>
      <c r="L5" s="16">
        <v>24827</v>
      </c>
      <c r="M5" s="18">
        <v>3169</v>
      </c>
      <c r="N5" s="20">
        <v>46269</v>
      </c>
      <c r="O5" s="40" t="s">
        <v>94</v>
      </c>
    </row>
    <row r="6" spans="1:15" s="2" customFormat="1" ht="24.9" customHeight="1">
      <c r="A6" s="14">
        <v>3</v>
      </c>
      <c r="B6" s="14">
        <v>3</v>
      </c>
      <c r="C6" s="15" t="s">
        <v>393</v>
      </c>
      <c r="D6" s="16">
        <v>22996.11</v>
      </c>
      <c r="E6" s="16">
        <v>26890.37</v>
      </c>
      <c r="F6" s="10">
        <f>(D6-E6)/E6</f>
        <v>-0.14481987417800493</v>
      </c>
      <c r="G6" s="18">
        <v>2602</v>
      </c>
      <c r="H6" s="18">
        <v>62</v>
      </c>
      <c r="I6" s="19">
        <f t="shared" si="0"/>
        <v>41.967741935483872</v>
      </c>
      <c r="J6" s="18">
        <v>11</v>
      </c>
      <c r="K6" s="12">
        <v>3</v>
      </c>
      <c r="L6" s="16">
        <v>174085.78</v>
      </c>
      <c r="M6" s="18">
        <v>21941</v>
      </c>
      <c r="N6" s="20">
        <v>46255</v>
      </c>
      <c r="O6" s="39" t="s">
        <v>39</v>
      </c>
    </row>
    <row r="7" spans="1:15" s="2" customFormat="1" ht="24.9" customHeight="1">
      <c r="A7" s="14">
        <v>4</v>
      </c>
      <c r="B7" s="14">
        <v>4</v>
      </c>
      <c r="C7" s="15" t="s">
        <v>384</v>
      </c>
      <c r="D7" s="16">
        <v>22481.74</v>
      </c>
      <c r="E7" s="16">
        <v>26854.21</v>
      </c>
      <c r="F7" s="10">
        <f>(D7-E7)/E7</f>
        <v>-0.16282251460757913</v>
      </c>
      <c r="G7" s="18">
        <v>3565</v>
      </c>
      <c r="H7" s="18">
        <v>94</v>
      </c>
      <c r="I7" s="19">
        <f t="shared" si="0"/>
        <v>37.925531914893618</v>
      </c>
      <c r="J7" s="18">
        <v>17</v>
      </c>
      <c r="K7" s="12">
        <v>4</v>
      </c>
      <c r="L7" s="16">
        <v>270160</v>
      </c>
      <c r="M7" s="18">
        <v>45748</v>
      </c>
      <c r="N7" s="20">
        <v>46249</v>
      </c>
      <c r="O7" s="40" t="s">
        <v>310</v>
      </c>
    </row>
    <row r="8" spans="1:15" s="2" customFormat="1" ht="24.9" customHeight="1">
      <c r="A8" s="14">
        <v>5</v>
      </c>
      <c r="B8" s="19" t="s">
        <v>49</v>
      </c>
      <c r="C8" s="15" t="s">
        <v>414</v>
      </c>
      <c r="D8" s="16">
        <v>20642.89</v>
      </c>
      <c r="E8" s="19" t="s">
        <v>13</v>
      </c>
      <c r="F8" s="19" t="s">
        <v>13</v>
      </c>
      <c r="G8" s="18">
        <v>3335</v>
      </c>
      <c r="H8" s="18">
        <v>98</v>
      </c>
      <c r="I8" s="19">
        <f t="shared" si="0"/>
        <v>34.030612244897959</v>
      </c>
      <c r="J8" s="18">
        <v>17</v>
      </c>
      <c r="K8" s="12">
        <v>1</v>
      </c>
      <c r="L8" s="16">
        <v>23438.59</v>
      </c>
      <c r="M8" s="18">
        <v>3783</v>
      </c>
      <c r="N8" s="20">
        <v>46269</v>
      </c>
      <c r="O8" s="40" t="s">
        <v>42</v>
      </c>
    </row>
    <row r="9" spans="1:15" ht="24.9" customHeight="1">
      <c r="A9" s="14">
        <v>6</v>
      </c>
      <c r="B9" s="14">
        <v>5</v>
      </c>
      <c r="C9" s="15" t="s">
        <v>405</v>
      </c>
      <c r="D9" s="16">
        <v>15537.9</v>
      </c>
      <c r="E9" s="16">
        <v>19565.939999999999</v>
      </c>
      <c r="F9" s="10">
        <f>(D9-E9)/E9</f>
        <v>-0.20586999653479462</v>
      </c>
      <c r="G9" s="18">
        <v>1953</v>
      </c>
      <c r="H9" s="18">
        <v>70</v>
      </c>
      <c r="I9" s="19">
        <f t="shared" si="0"/>
        <v>27.9</v>
      </c>
      <c r="J9" s="18">
        <v>15</v>
      </c>
      <c r="K9" s="12">
        <v>2</v>
      </c>
      <c r="L9" s="16">
        <v>44983</v>
      </c>
      <c r="M9" s="18">
        <v>5693</v>
      </c>
      <c r="N9" s="20">
        <v>46262</v>
      </c>
      <c r="O9" s="40" t="s">
        <v>37</v>
      </c>
    </row>
    <row r="10" spans="1:15" ht="24.9" customHeight="1">
      <c r="A10" s="14">
        <v>9</v>
      </c>
      <c r="B10" s="14">
        <v>6</v>
      </c>
      <c r="C10" s="15" t="s">
        <v>406</v>
      </c>
      <c r="D10" s="16">
        <v>13224.64</v>
      </c>
      <c r="E10" s="16">
        <v>13105.07</v>
      </c>
      <c r="F10" s="10">
        <f>(D10-E10)/E10</f>
        <v>9.1239497385362852E-3</v>
      </c>
      <c r="G10" s="18">
        <v>2020</v>
      </c>
      <c r="H10" s="18">
        <v>86</v>
      </c>
      <c r="I10" s="19">
        <f t="shared" si="0"/>
        <v>23.488372093023255</v>
      </c>
      <c r="J10" s="18">
        <v>19</v>
      </c>
      <c r="K10" s="12">
        <v>2</v>
      </c>
      <c r="L10" s="16">
        <v>39678.699999999997</v>
      </c>
      <c r="M10" s="18">
        <v>6461</v>
      </c>
      <c r="N10" s="20">
        <v>46262</v>
      </c>
      <c r="O10" s="40" t="s">
        <v>46</v>
      </c>
    </row>
    <row r="11" spans="1:15" ht="24.9" customHeight="1">
      <c r="A11" s="14">
        <v>10</v>
      </c>
      <c r="B11" s="14">
        <v>7</v>
      </c>
      <c r="C11" s="15" t="s">
        <v>343</v>
      </c>
      <c r="D11" s="16">
        <v>11096.25</v>
      </c>
      <c r="E11" s="16">
        <v>10611.59</v>
      </c>
      <c r="F11" s="10">
        <f>(D11-E11)/E11</f>
        <v>4.5672703148161568E-2</v>
      </c>
      <c r="G11" s="18">
        <v>1747</v>
      </c>
      <c r="H11" s="18">
        <v>44</v>
      </c>
      <c r="I11" s="19">
        <f t="shared" si="0"/>
        <v>39.704545454545453</v>
      </c>
      <c r="J11" s="18">
        <v>10</v>
      </c>
      <c r="K11" s="12">
        <v>10</v>
      </c>
      <c r="L11" s="16">
        <v>1062838</v>
      </c>
      <c r="M11" s="18">
        <v>164127</v>
      </c>
      <c r="N11" s="20">
        <v>46204</v>
      </c>
      <c r="O11" s="40" t="s">
        <v>207</v>
      </c>
    </row>
    <row r="12" spans="1:15" ht="24.9" customHeight="1">
      <c r="A12" s="14">
        <v>11</v>
      </c>
      <c r="B12" s="14">
        <v>8</v>
      </c>
      <c r="C12" s="15" t="s">
        <v>397</v>
      </c>
      <c r="D12" s="16">
        <v>8660.56</v>
      </c>
      <c r="E12" s="16">
        <v>8512.84</v>
      </c>
      <c r="F12" s="10">
        <f>(D12-E12)/E12</f>
        <v>1.735261087956538E-2</v>
      </c>
      <c r="G12" s="18">
        <v>1051</v>
      </c>
      <c r="H12" s="18">
        <v>56</v>
      </c>
      <c r="I12" s="19">
        <f t="shared" si="0"/>
        <v>18.767857142857142</v>
      </c>
      <c r="J12" s="18">
        <v>14</v>
      </c>
      <c r="K12" s="12">
        <v>2</v>
      </c>
      <c r="L12" s="16">
        <v>24637</v>
      </c>
      <c r="M12" s="18">
        <v>3466</v>
      </c>
      <c r="N12" s="20">
        <v>46262</v>
      </c>
      <c r="O12" s="40" t="s">
        <v>94</v>
      </c>
    </row>
    <row r="13" spans="1:15" s="90" customFormat="1" ht="24.6" customHeight="1">
      <c r="A13" s="14">
        <v>8</v>
      </c>
      <c r="B13" s="19" t="s">
        <v>49</v>
      </c>
      <c r="C13" s="15" t="s">
        <v>411</v>
      </c>
      <c r="D13" s="16">
        <v>4285.7299999999996</v>
      </c>
      <c r="E13" s="19" t="s">
        <v>13</v>
      </c>
      <c r="F13" s="19" t="s">
        <v>13</v>
      </c>
      <c r="G13" s="18">
        <v>562</v>
      </c>
      <c r="H13" s="18">
        <v>57</v>
      </c>
      <c r="I13" s="19">
        <f t="shared" si="0"/>
        <v>9.8596491228070171</v>
      </c>
      <c r="J13" s="18">
        <v>13</v>
      </c>
      <c r="K13" s="12">
        <v>1</v>
      </c>
      <c r="L13" s="16">
        <v>4286</v>
      </c>
      <c r="M13" s="18">
        <v>562</v>
      </c>
      <c r="N13" s="20">
        <v>46269</v>
      </c>
      <c r="O13" s="40" t="s">
        <v>94</v>
      </c>
    </row>
    <row r="14" spans="1:15" s="90" customFormat="1" ht="24.9" customHeight="1">
      <c r="A14" s="14">
        <v>12</v>
      </c>
      <c r="B14" s="14">
        <v>11</v>
      </c>
      <c r="C14" s="15" t="s">
        <v>400</v>
      </c>
      <c r="D14" s="16">
        <v>3872.09</v>
      </c>
      <c r="E14" s="16">
        <v>3980.88</v>
      </c>
      <c r="F14" s="10">
        <f t="shared" ref="F14:F27" si="1">(D14-E14)/E14</f>
        <v>-2.7328128454010159E-2</v>
      </c>
      <c r="G14" s="18">
        <v>614</v>
      </c>
      <c r="H14" s="18">
        <v>38</v>
      </c>
      <c r="I14" s="19">
        <f t="shared" si="0"/>
        <v>16.157894736842106</v>
      </c>
      <c r="J14" s="18">
        <v>13</v>
      </c>
      <c r="K14" s="12">
        <v>2</v>
      </c>
      <c r="L14" s="16">
        <v>14781.1</v>
      </c>
      <c r="M14" s="18">
        <v>2532</v>
      </c>
      <c r="N14" s="20">
        <v>46262</v>
      </c>
      <c r="O14" s="40" t="s">
        <v>42</v>
      </c>
    </row>
    <row r="15" spans="1:15" s="90" customFormat="1" ht="24.9" customHeight="1">
      <c r="A15" s="14">
        <v>13</v>
      </c>
      <c r="B15" s="14">
        <v>10</v>
      </c>
      <c r="C15" s="15" t="s">
        <v>398</v>
      </c>
      <c r="D15" s="16">
        <v>3722</v>
      </c>
      <c r="E15" s="16">
        <v>5301</v>
      </c>
      <c r="F15" s="10">
        <f t="shared" si="1"/>
        <v>-0.29786832673080549</v>
      </c>
      <c r="G15" s="18">
        <v>465</v>
      </c>
      <c r="H15" s="19" t="s">
        <v>13</v>
      </c>
      <c r="I15" s="19" t="s">
        <v>13</v>
      </c>
      <c r="J15" s="18">
        <v>8</v>
      </c>
      <c r="K15" s="19">
        <v>2</v>
      </c>
      <c r="L15" s="16">
        <v>11846</v>
      </c>
      <c r="M15" s="18">
        <v>1577</v>
      </c>
      <c r="N15" s="20">
        <v>46262</v>
      </c>
      <c r="O15" s="40" t="s">
        <v>44</v>
      </c>
    </row>
    <row r="16" spans="1:15" ht="24.9" customHeight="1">
      <c r="A16" s="14">
        <v>14</v>
      </c>
      <c r="B16" s="14">
        <v>9</v>
      </c>
      <c r="C16" s="15" t="s">
        <v>399</v>
      </c>
      <c r="D16" s="16">
        <v>2771.25</v>
      </c>
      <c r="E16" s="16">
        <v>7178.91</v>
      </c>
      <c r="F16" s="10">
        <f t="shared" si="1"/>
        <v>-0.61397343050685971</v>
      </c>
      <c r="G16" s="18">
        <v>346</v>
      </c>
      <c r="H16" s="18">
        <v>22</v>
      </c>
      <c r="I16" s="19">
        <f t="shared" ref="I16:I21" si="2">G16/H16</f>
        <v>15.727272727272727</v>
      </c>
      <c r="J16" s="18">
        <v>10</v>
      </c>
      <c r="K16" s="12">
        <v>2</v>
      </c>
      <c r="L16" s="16">
        <v>16237.7</v>
      </c>
      <c r="M16" s="18">
        <v>2100</v>
      </c>
      <c r="N16" s="20">
        <v>46262</v>
      </c>
      <c r="O16" s="40" t="s">
        <v>42</v>
      </c>
    </row>
    <row r="17" spans="1:15" ht="24.9" customHeight="1">
      <c r="A17" s="14">
        <v>15</v>
      </c>
      <c r="B17" s="14">
        <v>13</v>
      </c>
      <c r="C17" s="15" t="s">
        <v>394</v>
      </c>
      <c r="D17" s="16">
        <v>2616.14</v>
      </c>
      <c r="E17" s="16">
        <v>3742.2</v>
      </c>
      <c r="F17" s="10">
        <f t="shared" si="1"/>
        <v>-0.30090855646411202</v>
      </c>
      <c r="G17" s="18">
        <v>334</v>
      </c>
      <c r="H17" s="18">
        <v>11</v>
      </c>
      <c r="I17" s="19">
        <f t="shared" si="2"/>
        <v>30.363636363636363</v>
      </c>
      <c r="J17" s="18">
        <v>5</v>
      </c>
      <c r="K17" s="12">
        <v>3</v>
      </c>
      <c r="L17" s="16">
        <v>51599.53</v>
      </c>
      <c r="M17" s="18">
        <v>6384</v>
      </c>
      <c r="N17" s="20">
        <v>46255</v>
      </c>
      <c r="O17" s="40" t="s">
        <v>42</v>
      </c>
    </row>
    <row r="18" spans="1:15" ht="24.9" customHeight="1">
      <c r="A18" s="14">
        <v>16</v>
      </c>
      <c r="B18" s="14">
        <v>22</v>
      </c>
      <c r="C18" s="15" t="s">
        <v>346</v>
      </c>
      <c r="D18" s="16">
        <v>2180.17</v>
      </c>
      <c r="E18" s="16">
        <v>789.23</v>
      </c>
      <c r="F18" s="10">
        <f t="shared" si="1"/>
        <v>1.762401327876538</v>
      </c>
      <c r="G18" s="18">
        <v>295</v>
      </c>
      <c r="H18" s="18">
        <v>9</v>
      </c>
      <c r="I18" s="19">
        <f t="shared" si="2"/>
        <v>32.777777777777779</v>
      </c>
      <c r="J18" s="18">
        <v>4</v>
      </c>
      <c r="K18" s="12">
        <v>10</v>
      </c>
      <c r="L18" s="16">
        <v>151620.59</v>
      </c>
      <c r="M18" s="18">
        <v>19821</v>
      </c>
      <c r="N18" s="20">
        <v>46206</v>
      </c>
      <c r="O18" s="40" t="s">
        <v>42</v>
      </c>
    </row>
    <row r="19" spans="1:15" ht="24.9" customHeight="1">
      <c r="A19" s="14">
        <v>17</v>
      </c>
      <c r="B19" s="14">
        <v>12</v>
      </c>
      <c r="C19" s="78" t="s">
        <v>390</v>
      </c>
      <c r="D19" s="16">
        <v>1999.21</v>
      </c>
      <c r="E19" s="16">
        <v>3826.81</v>
      </c>
      <c r="F19" s="10">
        <f t="shared" si="1"/>
        <v>-0.47757793044337188</v>
      </c>
      <c r="G19" s="18">
        <v>249</v>
      </c>
      <c r="H19" s="18">
        <v>10</v>
      </c>
      <c r="I19" s="19">
        <f t="shared" si="2"/>
        <v>24.9</v>
      </c>
      <c r="J19" s="18">
        <v>4</v>
      </c>
      <c r="K19" s="12">
        <v>3</v>
      </c>
      <c r="L19" s="16">
        <v>39547</v>
      </c>
      <c r="M19" s="18">
        <v>5340</v>
      </c>
      <c r="N19" s="20">
        <v>46255</v>
      </c>
      <c r="O19" s="40" t="s">
        <v>94</v>
      </c>
    </row>
    <row r="20" spans="1:15" ht="24.9" customHeight="1">
      <c r="A20" s="14">
        <v>18</v>
      </c>
      <c r="B20" s="14">
        <v>15</v>
      </c>
      <c r="C20" s="15" t="s">
        <v>386</v>
      </c>
      <c r="D20" s="16">
        <v>1297.79</v>
      </c>
      <c r="E20" s="16">
        <v>3251.57</v>
      </c>
      <c r="F20" s="10">
        <f t="shared" si="1"/>
        <v>-0.6008728091352793</v>
      </c>
      <c r="G20" s="18">
        <v>163</v>
      </c>
      <c r="H20" s="18">
        <v>9</v>
      </c>
      <c r="I20" s="19">
        <f t="shared" si="2"/>
        <v>18.111111111111111</v>
      </c>
      <c r="J20" s="18">
        <v>3</v>
      </c>
      <c r="K20" s="12">
        <v>4</v>
      </c>
      <c r="L20" s="16">
        <v>57451.47</v>
      </c>
      <c r="M20" s="18">
        <v>8004</v>
      </c>
      <c r="N20" s="20">
        <v>46248</v>
      </c>
      <c r="O20" s="40" t="s">
        <v>55</v>
      </c>
    </row>
    <row r="21" spans="1:15" s="90" customFormat="1" ht="24.9" customHeight="1">
      <c r="A21" s="14">
        <v>31</v>
      </c>
      <c r="B21" s="14">
        <v>25</v>
      </c>
      <c r="C21" s="15" t="s">
        <v>362</v>
      </c>
      <c r="D21" s="16">
        <v>1012.1</v>
      </c>
      <c r="E21" s="16">
        <v>502.48</v>
      </c>
      <c r="F21" s="10">
        <f t="shared" si="1"/>
        <v>1.0142095207769464</v>
      </c>
      <c r="G21" s="18">
        <v>154</v>
      </c>
      <c r="H21" s="18">
        <v>3</v>
      </c>
      <c r="I21" s="19">
        <f t="shared" si="2"/>
        <v>51.333333333333336</v>
      </c>
      <c r="J21" s="18">
        <v>3</v>
      </c>
      <c r="K21" s="19" t="s">
        <v>13</v>
      </c>
      <c r="L21" s="16">
        <v>6957.54</v>
      </c>
      <c r="M21" s="18">
        <v>1011</v>
      </c>
      <c r="N21" s="20">
        <v>46227</v>
      </c>
      <c r="O21" s="40" t="s">
        <v>43</v>
      </c>
    </row>
    <row r="22" spans="1:15" s="90" customFormat="1" ht="24.9" customHeight="1">
      <c r="A22" s="14">
        <v>19</v>
      </c>
      <c r="B22" s="14">
        <v>33</v>
      </c>
      <c r="C22" s="15" t="s">
        <v>408</v>
      </c>
      <c r="D22" s="16">
        <v>786</v>
      </c>
      <c r="E22" s="16">
        <v>109</v>
      </c>
      <c r="F22" s="10">
        <f t="shared" si="1"/>
        <v>6.2110091743119265</v>
      </c>
      <c r="G22" s="19">
        <v>111</v>
      </c>
      <c r="H22" s="18">
        <v>6</v>
      </c>
      <c r="I22" s="19" t="s">
        <v>13</v>
      </c>
      <c r="J22" s="19" t="s">
        <v>13</v>
      </c>
      <c r="K22" s="12">
        <v>2</v>
      </c>
      <c r="L22" s="16" t="s">
        <v>412</v>
      </c>
      <c r="M22" s="19">
        <v>197</v>
      </c>
      <c r="N22" s="20">
        <v>46262</v>
      </c>
      <c r="O22" s="40" t="s">
        <v>272</v>
      </c>
    </row>
    <row r="23" spans="1:15" ht="24.9" customHeight="1">
      <c r="A23" s="14">
        <v>32</v>
      </c>
      <c r="B23" s="14">
        <v>27</v>
      </c>
      <c r="C23" s="15" t="s">
        <v>409</v>
      </c>
      <c r="D23" s="16">
        <v>518.75</v>
      </c>
      <c r="E23" s="16">
        <v>382.31</v>
      </c>
      <c r="F23" s="10">
        <f t="shared" si="1"/>
        <v>0.35688315764693573</v>
      </c>
      <c r="G23" s="18">
        <v>82</v>
      </c>
      <c r="H23" s="18">
        <v>3</v>
      </c>
      <c r="I23" s="19">
        <f>G23/H23</f>
        <v>27.333333333333332</v>
      </c>
      <c r="J23" s="18">
        <v>3</v>
      </c>
      <c r="K23" s="19" t="s">
        <v>13</v>
      </c>
      <c r="L23" s="16">
        <v>4119.3</v>
      </c>
      <c r="M23" s="18">
        <v>763</v>
      </c>
      <c r="N23" s="20">
        <v>46255</v>
      </c>
      <c r="O23" s="40" t="s">
        <v>43</v>
      </c>
    </row>
    <row r="24" spans="1:15" ht="24.9" customHeight="1">
      <c r="A24" s="14">
        <v>20</v>
      </c>
      <c r="B24" s="14">
        <v>26</v>
      </c>
      <c r="C24" s="15" t="s">
        <v>321</v>
      </c>
      <c r="D24" s="16">
        <v>516</v>
      </c>
      <c r="E24" s="16">
        <v>441</v>
      </c>
      <c r="F24" s="10">
        <f t="shared" si="1"/>
        <v>0.17006802721088435</v>
      </c>
      <c r="G24" s="18">
        <v>64</v>
      </c>
      <c r="H24" s="18">
        <v>2</v>
      </c>
      <c r="I24" s="19">
        <f>G24/H24</f>
        <v>32</v>
      </c>
      <c r="J24" s="18">
        <v>1</v>
      </c>
      <c r="K24" s="12">
        <v>13</v>
      </c>
      <c r="L24" s="16">
        <v>434052</v>
      </c>
      <c r="M24" s="18">
        <v>55439</v>
      </c>
      <c r="N24" s="20">
        <v>46185</v>
      </c>
      <c r="O24" s="40" t="s">
        <v>94</v>
      </c>
    </row>
    <row r="25" spans="1:15" ht="24.9" customHeight="1">
      <c r="A25" s="14">
        <v>21</v>
      </c>
      <c r="B25" s="14">
        <v>20</v>
      </c>
      <c r="C25" s="15" t="s">
        <v>383</v>
      </c>
      <c r="D25" s="16">
        <v>370.53</v>
      </c>
      <c r="E25" s="16">
        <v>1202.1500000000001</v>
      </c>
      <c r="F25" s="10">
        <f t="shared" si="1"/>
        <v>-0.69177723245851186</v>
      </c>
      <c r="G25" s="18">
        <v>65</v>
      </c>
      <c r="H25" s="18">
        <v>3</v>
      </c>
      <c r="I25" s="19" t="s">
        <v>13</v>
      </c>
      <c r="J25" s="18">
        <v>2</v>
      </c>
      <c r="K25" s="12">
        <v>4</v>
      </c>
      <c r="L25" s="16">
        <v>50090</v>
      </c>
      <c r="M25" s="18">
        <v>6660</v>
      </c>
      <c r="N25" s="20">
        <v>46248</v>
      </c>
      <c r="O25" s="40" t="s">
        <v>207</v>
      </c>
    </row>
    <row r="26" spans="1:15" ht="24.9" customHeight="1">
      <c r="A26" s="14">
        <v>22</v>
      </c>
      <c r="B26" s="14">
        <v>21</v>
      </c>
      <c r="C26" s="15" t="s">
        <v>351</v>
      </c>
      <c r="D26" s="16">
        <v>290.91000000000003</v>
      </c>
      <c r="E26" s="16">
        <v>928.91</v>
      </c>
      <c r="F26" s="10">
        <f t="shared" si="1"/>
        <v>-0.6868264955700768</v>
      </c>
      <c r="G26" s="18">
        <v>66</v>
      </c>
      <c r="H26" s="18">
        <v>2</v>
      </c>
      <c r="I26" s="19">
        <f t="shared" ref="I26:I34" si="3">G26/H26</f>
        <v>33</v>
      </c>
      <c r="J26" s="18">
        <v>2</v>
      </c>
      <c r="K26" s="12">
        <v>9</v>
      </c>
      <c r="L26" s="16">
        <v>209594</v>
      </c>
      <c r="M26" s="18">
        <v>33998</v>
      </c>
      <c r="N26" s="20">
        <v>46213</v>
      </c>
      <c r="O26" s="40" t="s">
        <v>37</v>
      </c>
    </row>
    <row r="27" spans="1:15" ht="24.9" customHeight="1">
      <c r="A27" s="14">
        <v>23</v>
      </c>
      <c r="B27" s="14">
        <v>32</v>
      </c>
      <c r="C27" s="15" t="s">
        <v>235</v>
      </c>
      <c r="D27" s="16">
        <v>205.95</v>
      </c>
      <c r="E27" s="16">
        <v>117.35</v>
      </c>
      <c r="F27" s="10">
        <f t="shared" si="1"/>
        <v>0.75500639113762247</v>
      </c>
      <c r="G27" s="18">
        <v>26</v>
      </c>
      <c r="H27" s="18">
        <v>3</v>
      </c>
      <c r="I27" s="19">
        <f t="shared" si="3"/>
        <v>8.6666666666666661</v>
      </c>
      <c r="J27" s="18">
        <v>2</v>
      </c>
      <c r="K27" s="12">
        <v>22</v>
      </c>
      <c r="L27" s="16">
        <v>206119.07</v>
      </c>
      <c r="M27" s="18">
        <v>28437</v>
      </c>
      <c r="N27" s="20">
        <v>46122</v>
      </c>
      <c r="O27" s="40" t="s">
        <v>47</v>
      </c>
    </row>
    <row r="28" spans="1:15" ht="24.9" customHeight="1">
      <c r="A28" s="14">
        <v>24</v>
      </c>
      <c r="B28" s="19" t="s">
        <v>13</v>
      </c>
      <c r="C28" s="15" t="s">
        <v>251</v>
      </c>
      <c r="D28" s="16">
        <v>179.82</v>
      </c>
      <c r="E28" s="19" t="s">
        <v>13</v>
      </c>
      <c r="F28" s="19" t="s">
        <v>13</v>
      </c>
      <c r="G28" s="18">
        <v>36</v>
      </c>
      <c r="H28" s="18">
        <v>1</v>
      </c>
      <c r="I28" s="19">
        <f t="shared" si="3"/>
        <v>36</v>
      </c>
      <c r="J28" s="18">
        <v>1</v>
      </c>
      <c r="K28" s="12">
        <v>20</v>
      </c>
      <c r="L28" s="16">
        <v>702825</v>
      </c>
      <c r="M28" s="18">
        <v>92838</v>
      </c>
      <c r="N28" s="20">
        <v>46136</v>
      </c>
      <c r="O28" s="40" t="s">
        <v>207</v>
      </c>
    </row>
    <row r="29" spans="1:15" ht="24.9" customHeight="1">
      <c r="A29" s="14">
        <v>25</v>
      </c>
      <c r="B29" s="19" t="s">
        <v>13</v>
      </c>
      <c r="C29" s="15" t="s">
        <v>415</v>
      </c>
      <c r="D29" s="16">
        <v>175</v>
      </c>
      <c r="E29" s="19" t="s">
        <v>13</v>
      </c>
      <c r="F29" s="19" t="s">
        <v>13</v>
      </c>
      <c r="G29" s="18">
        <v>25</v>
      </c>
      <c r="H29" s="18">
        <v>1</v>
      </c>
      <c r="I29" s="19">
        <f t="shared" si="3"/>
        <v>25</v>
      </c>
      <c r="J29" s="18">
        <v>1</v>
      </c>
      <c r="K29" s="12">
        <v>142</v>
      </c>
      <c r="L29" s="16">
        <v>6436.58</v>
      </c>
      <c r="M29" s="18">
        <v>1477</v>
      </c>
      <c r="N29" s="20">
        <v>45282</v>
      </c>
      <c r="O29" s="40" t="s">
        <v>47</v>
      </c>
    </row>
    <row r="30" spans="1:15" ht="24.9" customHeight="1">
      <c r="A30" s="14">
        <v>26</v>
      </c>
      <c r="B30" s="14">
        <v>36</v>
      </c>
      <c r="C30" s="15" t="s">
        <v>257</v>
      </c>
      <c r="D30" s="16">
        <v>70</v>
      </c>
      <c r="E30" s="16">
        <v>30</v>
      </c>
      <c r="F30" s="10">
        <f>(D30-E30)/E30</f>
        <v>1.3333333333333333</v>
      </c>
      <c r="G30" s="18">
        <v>14</v>
      </c>
      <c r="H30" s="18">
        <v>1</v>
      </c>
      <c r="I30" s="19">
        <f t="shared" si="3"/>
        <v>14</v>
      </c>
      <c r="J30" s="18">
        <v>1</v>
      </c>
      <c r="K30" s="19" t="s">
        <v>13</v>
      </c>
      <c r="L30" s="16">
        <v>21286.06</v>
      </c>
      <c r="M30" s="18">
        <v>4333</v>
      </c>
      <c r="N30" s="20">
        <v>46143</v>
      </c>
      <c r="O30" s="40" t="s">
        <v>46</v>
      </c>
    </row>
    <row r="31" spans="1:15" ht="24.9" customHeight="1">
      <c r="A31" s="14">
        <v>27</v>
      </c>
      <c r="B31" s="19">
        <v>30</v>
      </c>
      <c r="C31" s="15" t="s">
        <v>392</v>
      </c>
      <c r="D31" s="16">
        <v>55</v>
      </c>
      <c r="E31" s="16">
        <v>197.48</v>
      </c>
      <c r="F31" s="94">
        <f>(D31-E31)/E31</f>
        <v>-0.72149078387684829</v>
      </c>
      <c r="G31" s="18">
        <v>11</v>
      </c>
      <c r="H31" s="18">
        <v>1</v>
      </c>
      <c r="I31" s="19">
        <f t="shared" si="3"/>
        <v>11</v>
      </c>
      <c r="J31" s="18">
        <v>2</v>
      </c>
      <c r="K31" s="19">
        <v>3</v>
      </c>
      <c r="L31" s="16" t="s">
        <v>419</v>
      </c>
      <c r="M31" s="18">
        <v>758</v>
      </c>
      <c r="N31" s="20">
        <v>46255</v>
      </c>
      <c r="O31" s="40" t="s">
        <v>86</v>
      </c>
    </row>
    <row r="32" spans="1:15" ht="24.9" customHeight="1">
      <c r="A32" s="14">
        <v>28</v>
      </c>
      <c r="B32" s="14">
        <v>28</v>
      </c>
      <c r="C32" s="8" t="s">
        <v>78</v>
      </c>
      <c r="D32" s="16">
        <v>47.7</v>
      </c>
      <c r="E32" s="16">
        <v>361.43</v>
      </c>
      <c r="F32" s="10">
        <f>(D32-E32)/E32</f>
        <v>-0.86802423705835163</v>
      </c>
      <c r="G32" s="18">
        <v>6</v>
      </c>
      <c r="H32" s="18">
        <v>2</v>
      </c>
      <c r="I32" s="19">
        <f t="shared" si="3"/>
        <v>3</v>
      </c>
      <c r="J32" s="18">
        <v>1</v>
      </c>
      <c r="K32" s="12">
        <v>34</v>
      </c>
      <c r="L32" s="16">
        <v>154030.32</v>
      </c>
      <c r="M32" s="18">
        <v>21311</v>
      </c>
      <c r="N32" s="20">
        <v>46038</v>
      </c>
      <c r="O32" s="40" t="s">
        <v>47</v>
      </c>
    </row>
    <row r="33" spans="1:15" ht="24.9" customHeight="1">
      <c r="A33" s="14">
        <v>29</v>
      </c>
      <c r="B33" s="14">
        <v>37</v>
      </c>
      <c r="C33" s="8" t="s">
        <v>329</v>
      </c>
      <c r="D33" s="16">
        <v>14</v>
      </c>
      <c r="E33" s="16">
        <v>14</v>
      </c>
      <c r="F33" s="10">
        <f>(D33-E33)/E33</f>
        <v>0</v>
      </c>
      <c r="G33" s="18">
        <v>2</v>
      </c>
      <c r="H33" s="18">
        <v>1</v>
      </c>
      <c r="I33" s="19">
        <f t="shared" si="3"/>
        <v>2</v>
      </c>
      <c r="J33" s="18">
        <v>1</v>
      </c>
      <c r="K33" s="19" t="s">
        <v>13</v>
      </c>
      <c r="L33" s="16">
        <v>5057.22</v>
      </c>
      <c r="M33" s="18">
        <v>742</v>
      </c>
      <c r="N33" s="13">
        <v>46192</v>
      </c>
      <c r="O33" s="39" t="s">
        <v>46</v>
      </c>
    </row>
    <row r="34" spans="1:15" ht="24.9" customHeight="1">
      <c r="A34" s="14">
        <v>30</v>
      </c>
      <c r="B34" s="19" t="s">
        <v>13</v>
      </c>
      <c r="C34" s="15" t="s">
        <v>416</v>
      </c>
      <c r="D34" s="16">
        <v>8.4499999999999993</v>
      </c>
      <c r="E34" s="19" t="s">
        <v>13</v>
      </c>
      <c r="F34" s="19" t="s">
        <v>13</v>
      </c>
      <c r="G34" s="18">
        <v>1</v>
      </c>
      <c r="H34" s="18">
        <v>1</v>
      </c>
      <c r="I34" s="19">
        <f t="shared" si="3"/>
        <v>1</v>
      </c>
      <c r="J34" s="18">
        <v>1</v>
      </c>
      <c r="K34" s="12">
        <v>50</v>
      </c>
      <c r="L34" s="16">
        <v>36316.11</v>
      </c>
      <c r="M34" s="18">
        <v>5635</v>
      </c>
      <c r="N34" s="20">
        <v>45926</v>
      </c>
      <c r="O34" s="40" t="s">
        <v>47</v>
      </c>
    </row>
    <row r="35" spans="1:15" s="1" customFormat="1" ht="24.75" customHeight="1">
      <c r="A35" s="25"/>
      <c r="B35" s="50" t="s">
        <v>14</v>
      </c>
      <c r="C35" s="61" t="s">
        <v>62</v>
      </c>
      <c r="D35" s="92">
        <f>SUBTOTAL(109,Table13245678910111213141516171819202122232425262728293031323334353637[Pajamos 
(GBO)])</f>
        <v>267121.48</v>
      </c>
      <c r="E35" s="92">
        <f>SUBTOTAL(109,Table13245678910111213141516171819202122232425262728293031323334353637[Pajamos 
praeita sav.
(GBO LW)])</f>
        <v>227562.52000000005</v>
      </c>
      <c r="F35" s="43">
        <f t="shared" ref="F35" si="4">(D35-E35)/E35</f>
        <v>0.17383776555119854</v>
      </c>
      <c r="G35" s="93">
        <f>SUBTOTAL(109,Table13245678910111213141516171819202122232425262728293031323334353637[Žiūrovų sk. 
(ADM)])</f>
        <v>33818</v>
      </c>
      <c r="H35" s="36"/>
      <c r="I35" s="25"/>
      <c r="J35" s="36"/>
      <c r="K35" s="48"/>
      <c r="L35" s="32"/>
      <c r="M35" s="36"/>
      <c r="N35" s="38"/>
      <c r="O35" s="41"/>
    </row>
    <row r="36" spans="1:15"/>
    <row r="37" spans="1:15"/>
    <row r="38" spans="1:15" ht="9" customHeight="1"/>
    <row r="39" spans="1:15"/>
    <row r="40" spans="1:15"/>
    <row r="41" spans="1:15"/>
    <row r="42" spans="1:15"/>
    <row r="43" spans="1:15"/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</sheetData>
  <mergeCells count="1">
    <mergeCell ref="A1:O1"/>
  </mergeCells>
  <pageMargins left="0.7" right="0.7" top="0.75" bottom="0.75" header="0.3" footer="0.3"/>
  <legacy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C01A3-319A-4734-975D-F6E86A685D33}">
  <dimension ref="A1:XFC606"/>
  <sheetViews>
    <sheetView topLeftCell="A18" zoomScale="70" zoomScaleNormal="70" workbookViewId="0">
      <selection activeCell="C35" sqref="C35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396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4">
        <v>2</v>
      </c>
      <c r="C3" s="15" t="s">
        <v>370</v>
      </c>
      <c r="D3" s="16">
        <v>46380.44</v>
      </c>
      <c r="E3" s="16">
        <v>84320.55</v>
      </c>
      <c r="F3" s="10">
        <f>(D3-E3)/E3</f>
        <v>-0.44995093129729347</v>
      </c>
      <c r="G3" s="18">
        <v>5116</v>
      </c>
      <c r="H3" s="18">
        <v>115</v>
      </c>
      <c r="I3" s="19">
        <f t="shared" ref="I3:I11" si="0">G3/H3</f>
        <v>44.486956521739131</v>
      </c>
      <c r="J3" s="18">
        <v>12</v>
      </c>
      <c r="K3" s="19">
        <v>5</v>
      </c>
      <c r="L3" s="16">
        <v>1132967.9099999999</v>
      </c>
      <c r="M3" s="18">
        <v>139395</v>
      </c>
      <c r="N3" s="20">
        <v>46233</v>
      </c>
      <c r="O3" s="39" t="s">
        <v>39</v>
      </c>
    </row>
    <row r="4" spans="1:15" s="2" customFormat="1" ht="24.9" customHeight="1">
      <c r="A4" s="14">
        <v>2</v>
      </c>
      <c r="B4" s="14">
        <v>1</v>
      </c>
      <c r="C4" s="15" t="s">
        <v>357</v>
      </c>
      <c r="D4" s="16">
        <v>43285.35</v>
      </c>
      <c r="E4" s="16">
        <v>85903.89</v>
      </c>
      <c r="F4" s="10">
        <f>(D4-E4)/E4</f>
        <v>-0.49611886027512841</v>
      </c>
      <c r="G4" s="18">
        <v>4652</v>
      </c>
      <c r="H4" s="18">
        <v>52</v>
      </c>
      <c r="I4" s="19">
        <f t="shared" si="0"/>
        <v>89.461538461538467</v>
      </c>
      <c r="J4" s="18">
        <v>11</v>
      </c>
      <c r="K4" s="19">
        <v>7</v>
      </c>
      <c r="L4" s="16">
        <v>1449176</v>
      </c>
      <c r="M4" s="18">
        <v>161122</v>
      </c>
      <c r="N4" s="20">
        <v>46220</v>
      </c>
      <c r="O4" s="40" t="s">
        <v>207</v>
      </c>
    </row>
    <row r="5" spans="1:15" s="2" customFormat="1" ht="24.9" customHeight="1">
      <c r="A5" s="14">
        <v>3</v>
      </c>
      <c r="B5" s="14">
        <v>3</v>
      </c>
      <c r="C5" s="15" t="s">
        <v>393</v>
      </c>
      <c r="D5" s="16">
        <v>26890.37</v>
      </c>
      <c r="E5" s="16">
        <v>64540.98</v>
      </c>
      <c r="F5" s="10">
        <f>(D5-E5)/E5</f>
        <v>-0.58335975065764412</v>
      </c>
      <c r="G5" s="18">
        <v>3266</v>
      </c>
      <c r="H5" s="18">
        <v>66</v>
      </c>
      <c r="I5" s="19">
        <f t="shared" si="0"/>
        <v>49.484848484848484</v>
      </c>
      <c r="J5" s="18">
        <v>12</v>
      </c>
      <c r="K5" s="19">
        <v>2</v>
      </c>
      <c r="L5" s="16">
        <v>136983.26999999999</v>
      </c>
      <c r="M5" s="18">
        <v>17376</v>
      </c>
      <c r="N5" s="20">
        <v>46255</v>
      </c>
      <c r="O5" s="39" t="s">
        <v>39</v>
      </c>
    </row>
    <row r="6" spans="1:15" s="2" customFormat="1" ht="24.9" customHeight="1">
      <c r="A6" s="14">
        <v>4</v>
      </c>
      <c r="B6" s="14">
        <v>4</v>
      </c>
      <c r="C6" s="15" t="s">
        <v>384</v>
      </c>
      <c r="D6" s="16">
        <v>26854.21</v>
      </c>
      <c r="E6" s="16">
        <v>58678.52</v>
      </c>
      <c r="F6" s="10">
        <f>(D6-E6)/E6</f>
        <v>-0.5423502501426416</v>
      </c>
      <c r="G6" s="18">
        <v>4380</v>
      </c>
      <c r="H6" s="18">
        <v>112</v>
      </c>
      <c r="I6" s="19">
        <f t="shared" si="0"/>
        <v>39.107142857142854</v>
      </c>
      <c r="J6" s="18">
        <v>17</v>
      </c>
      <c r="K6" s="19">
        <v>3</v>
      </c>
      <c r="L6" s="16">
        <v>219087</v>
      </c>
      <c r="M6" s="18">
        <v>37304</v>
      </c>
      <c r="N6" s="20">
        <v>46249</v>
      </c>
      <c r="O6" s="40" t="s">
        <v>310</v>
      </c>
    </row>
    <row r="7" spans="1:15" s="2" customFormat="1" ht="24.9" customHeight="1">
      <c r="A7" s="14">
        <v>5</v>
      </c>
      <c r="B7" s="19" t="s">
        <v>49</v>
      </c>
      <c r="C7" s="15" t="s">
        <v>405</v>
      </c>
      <c r="D7" s="16">
        <v>19565.939999999999</v>
      </c>
      <c r="E7" s="19" t="s">
        <v>13</v>
      </c>
      <c r="F7" s="19" t="s">
        <v>13</v>
      </c>
      <c r="G7" s="18">
        <v>2340</v>
      </c>
      <c r="H7" s="18">
        <v>77</v>
      </c>
      <c r="I7" s="19">
        <f t="shared" si="0"/>
        <v>30.38961038961039</v>
      </c>
      <c r="J7" s="18">
        <v>19</v>
      </c>
      <c r="K7" s="19">
        <v>1</v>
      </c>
      <c r="L7" s="16">
        <v>20788</v>
      </c>
      <c r="M7" s="18">
        <v>2519</v>
      </c>
      <c r="N7" s="20">
        <v>46262</v>
      </c>
      <c r="O7" s="40" t="s">
        <v>37</v>
      </c>
    </row>
    <row r="8" spans="1:15" s="2" customFormat="1" ht="24.9" customHeight="1">
      <c r="A8" s="14">
        <v>6</v>
      </c>
      <c r="B8" s="19" t="s">
        <v>49</v>
      </c>
      <c r="C8" s="15" t="s">
        <v>406</v>
      </c>
      <c r="D8" s="16">
        <v>13105.07</v>
      </c>
      <c r="E8" s="19" t="s">
        <v>13</v>
      </c>
      <c r="F8" s="19" t="s">
        <v>13</v>
      </c>
      <c r="G8" s="18">
        <v>2175</v>
      </c>
      <c r="H8" s="18">
        <v>88</v>
      </c>
      <c r="I8" s="19">
        <f t="shared" si="0"/>
        <v>24.71590909090909</v>
      </c>
      <c r="J8" s="18">
        <v>18</v>
      </c>
      <c r="K8" s="19">
        <v>1</v>
      </c>
      <c r="L8" s="16">
        <v>13105.07</v>
      </c>
      <c r="M8" s="18">
        <v>2175</v>
      </c>
      <c r="N8" s="20">
        <v>46262</v>
      </c>
      <c r="O8" s="40" t="s">
        <v>46</v>
      </c>
    </row>
    <row r="9" spans="1:15" s="2" customFormat="1" ht="24.9" customHeight="1">
      <c r="A9" s="14">
        <v>7</v>
      </c>
      <c r="B9" s="14">
        <v>5</v>
      </c>
      <c r="C9" s="15" t="s">
        <v>343</v>
      </c>
      <c r="D9" s="16">
        <v>10611.59</v>
      </c>
      <c r="E9" s="16">
        <v>22750.58</v>
      </c>
      <c r="F9" s="10">
        <f>(D9-E9)/E9</f>
        <v>-0.53356837496011089</v>
      </c>
      <c r="G9" s="18">
        <v>1633</v>
      </c>
      <c r="H9" s="18">
        <v>49</v>
      </c>
      <c r="I9" s="19">
        <f t="shared" si="0"/>
        <v>33.326530612244895</v>
      </c>
      <c r="J9" s="18">
        <v>13</v>
      </c>
      <c r="K9" s="19">
        <v>9</v>
      </c>
      <c r="L9" s="16">
        <v>1038679</v>
      </c>
      <c r="M9" s="18">
        <v>160223</v>
      </c>
      <c r="N9" s="20">
        <v>46204</v>
      </c>
      <c r="O9" s="40" t="s">
        <v>207</v>
      </c>
    </row>
    <row r="10" spans="1:15" s="2" customFormat="1" ht="24.9" customHeight="1">
      <c r="A10" s="14">
        <v>8</v>
      </c>
      <c r="B10" s="19" t="s">
        <v>49</v>
      </c>
      <c r="C10" s="15" t="s">
        <v>397</v>
      </c>
      <c r="D10" s="16">
        <v>8512.84</v>
      </c>
      <c r="E10" s="19" t="s">
        <v>13</v>
      </c>
      <c r="F10" s="19" t="s">
        <v>13</v>
      </c>
      <c r="G10" s="18">
        <v>1218</v>
      </c>
      <c r="H10" s="18">
        <v>52</v>
      </c>
      <c r="I10" s="19">
        <f t="shared" si="0"/>
        <v>23.423076923076923</v>
      </c>
      <c r="J10" s="18">
        <v>18</v>
      </c>
      <c r="K10" s="19">
        <v>1</v>
      </c>
      <c r="L10" s="16">
        <v>9463</v>
      </c>
      <c r="M10" s="18">
        <v>1382</v>
      </c>
      <c r="N10" s="20">
        <v>46262</v>
      </c>
      <c r="O10" s="40" t="s">
        <v>94</v>
      </c>
    </row>
    <row r="11" spans="1:15" ht="24.9" customHeight="1">
      <c r="A11" s="14">
        <v>9</v>
      </c>
      <c r="B11" s="19" t="s">
        <v>49</v>
      </c>
      <c r="C11" s="15" t="s">
        <v>399</v>
      </c>
      <c r="D11" s="16">
        <v>7178.91</v>
      </c>
      <c r="E11" s="19" t="s">
        <v>13</v>
      </c>
      <c r="F11" s="19" t="s">
        <v>13</v>
      </c>
      <c r="G11" s="18">
        <v>883</v>
      </c>
      <c r="H11" s="18">
        <v>56</v>
      </c>
      <c r="I11" s="19">
        <f t="shared" si="0"/>
        <v>15.767857142857142</v>
      </c>
      <c r="J11" s="18">
        <v>18</v>
      </c>
      <c r="K11" s="19">
        <v>1</v>
      </c>
      <c r="L11" s="16">
        <v>8783.3700000000008</v>
      </c>
      <c r="M11" s="18">
        <v>1113</v>
      </c>
      <c r="N11" s="20">
        <v>46262</v>
      </c>
      <c r="O11" s="40" t="s">
        <v>42</v>
      </c>
    </row>
    <row r="12" spans="1:15" ht="24.9" customHeight="1">
      <c r="A12" s="14">
        <v>10</v>
      </c>
      <c r="B12" s="19" t="s">
        <v>49</v>
      </c>
      <c r="C12" s="15" t="s">
        <v>398</v>
      </c>
      <c r="D12" s="16">
        <v>5301</v>
      </c>
      <c r="E12" s="19" t="s">
        <v>13</v>
      </c>
      <c r="F12" s="19" t="s">
        <v>13</v>
      </c>
      <c r="G12" s="18">
        <v>689</v>
      </c>
      <c r="H12" s="19" t="s">
        <v>13</v>
      </c>
      <c r="I12" s="19" t="s">
        <v>13</v>
      </c>
      <c r="J12" s="18">
        <v>15</v>
      </c>
      <c r="K12" s="19">
        <v>1</v>
      </c>
      <c r="L12" s="16">
        <v>5301</v>
      </c>
      <c r="M12" s="18">
        <v>689</v>
      </c>
      <c r="N12" s="20">
        <v>46262</v>
      </c>
      <c r="O12" s="40" t="s">
        <v>44</v>
      </c>
    </row>
    <row r="13" spans="1:15" ht="24.9" customHeight="1">
      <c r="A13" s="14">
        <v>11</v>
      </c>
      <c r="B13" s="19" t="s">
        <v>49</v>
      </c>
      <c r="C13" s="15" t="s">
        <v>400</v>
      </c>
      <c r="D13" s="16">
        <v>3980.88</v>
      </c>
      <c r="E13" s="19" t="s">
        <v>13</v>
      </c>
      <c r="F13" s="19" t="s">
        <v>13</v>
      </c>
      <c r="G13" s="18">
        <v>662</v>
      </c>
      <c r="H13" s="18">
        <v>59</v>
      </c>
      <c r="I13" s="19">
        <f t="shared" ref="I13:I21" si="1">G13/H13</f>
        <v>11.220338983050848</v>
      </c>
      <c r="J13" s="18">
        <v>14</v>
      </c>
      <c r="K13" s="19">
        <v>1</v>
      </c>
      <c r="L13" s="16">
        <v>3980.88</v>
      </c>
      <c r="M13" s="18">
        <v>662</v>
      </c>
      <c r="N13" s="20">
        <v>46262</v>
      </c>
      <c r="O13" s="40" t="s">
        <v>42</v>
      </c>
    </row>
    <row r="14" spans="1:15" ht="24.9" customHeight="1">
      <c r="A14" s="14">
        <v>12</v>
      </c>
      <c r="B14" s="14">
        <v>7</v>
      </c>
      <c r="C14" s="15" t="s">
        <v>390</v>
      </c>
      <c r="D14" s="16">
        <v>3826.81</v>
      </c>
      <c r="E14" s="16">
        <v>20354.900000000001</v>
      </c>
      <c r="F14" s="10">
        <f>(D14-E14)/E14</f>
        <v>-0.81199563741408698</v>
      </c>
      <c r="G14" s="18">
        <v>479</v>
      </c>
      <c r="H14" s="18">
        <v>19</v>
      </c>
      <c r="I14" s="19">
        <f t="shared" si="1"/>
        <v>25.210526315789473</v>
      </c>
      <c r="J14" s="18">
        <v>10</v>
      </c>
      <c r="K14" s="19">
        <v>2</v>
      </c>
      <c r="L14" s="16">
        <v>35177</v>
      </c>
      <c r="M14" s="18">
        <v>4768</v>
      </c>
      <c r="N14" s="20">
        <v>46255</v>
      </c>
      <c r="O14" s="40" t="s">
        <v>94</v>
      </c>
    </row>
    <row r="15" spans="1:15" ht="24.9" customHeight="1">
      <c r="A15" s="14">
        <v>13</v>
      </c>
      <c r="B15" s="14">
        <v>6</v>
      </c>
      <c r="C15" s="15" t="s">
        <v>394</v>
      </c>
      <c r="D15" s="16">
        <v>3742.2</v>
      </c>
      <c r="E15" s="16">
        <v>21583.77</v>
      </c>
      <c r="F15" s="10">
        <f>(D15-E15)/E15</f>
        <v>-0.8266197239870513</v>
      </c>
      <c r="G15" s="18">
        <v>471</v>
      </c>
      <c r="H15" s="18">
        <v>23</v>
      </c>
      <c r="I15" s="19">
        <f t="shared" si="1"/>
        <v>20.478260869565219</v>
      </c>
      <c r="J15" s="18">
        <v>9</v>
      </c>
      <c r="K15" s="19">
        <v>2</v>
      </c>
      <c r="L15" s="16">
        <v>46274.69</v>
      </c>
      <c r="M15" s="18">
        <v>5720</v>
      </c>
      <c r="N15" s="20">
        <v>46255</v>
      </c>
      <c r="O15" s="40" t="s">
        <v>42</v>
      </c>
    </row>
    <row r="16" spans="1:15" ht="24.9" customHeight="1">
      <c r="A16" s="14">
        <v>14</v>
      </c>
      <c r="B16" s="19" t="s">
        <v>13</v>
      </c>
      <c r="C16" s="15" t="s">
        <v>401</v>
      </c>
      <c r="D16" s="16">
        <v>3300.93</v>
      </c>
      <c r="E16" s="19" t="s">
        <v>13</v>
      </c>
      <c r="F16" s="19" t="s">
        <v>13</v>
      </c>
      <c r="G16" s="18">
        <v>472</v>
      </c>
      <c r="H16" s="18">
        <v>6</v>
      </c>
      <c r="I16" s="19">
        <f t="shared" si="1"/>
        <v>78.666666666666671</v>
      </c>
      <c r="J16" s="18">
        <v>6</v>
      </c>
      <c r="K16" s="19">
        <v>1</v>
      </c>
      <c r="L16" s="16">
        <v>17021.259999999998</v>
      </c>
      <c r="M16" s="18">
        <v>1823</v>
      </c>
      <c r="N16" s="19" t="s">
        <v>13</v>
      </c>
      <c r="O16" s="40" t="s">
        <v>55</v>
      </c>
    </row>
    <row r="17" spans="1:15" ht="24.9" customHeight="1">
      <c r="A17" s="14">
        <v>15</v>
      </c>
      <c r="B17" s="14">
        <v>8</v>
      </c>
      <c r="C17" s="15" t="s">
        <v>386</v>
      </c>
      <c r="D17" s="16">
        <v>3251.57</v>
      </c>
      <c r="E17" s="16">
        <v>11955.14</v>
      </c>
      <c r="F17" s="10">
        <f>(D17-E17)/E17</f>
        <v>-0.72801907798653964</v>
      </c>
      <c r="G17" s="18">
        <v>465</v>
      </c>
      <c r="H17" s="18">
        <v>20</v>
      </c>
      <c r="I17" s="19">
        <f t="shared" si="1"/>
        <v>23.25</v>
      </c>
      <c r="J17" s="18">
        <v>6</v>
      </c>
      <c r="K17" s="19">
        <v>3</v>
      </c>
      <c r="L17" s="16">
        <v>53610.1</v>
      </c>
      <c r="M17" s="18">
        <v>7450</v>
      </c>
      <c r="N17" s="20">
        <v>46248</v>
      </c>
      <c r="O17" s="40" t="s">
        <v>55</v>
      </c>
    </row>
    <row r="18" spans="1:15" ht="24.6" customHeight="1">
      <c r="A18" s="14">
        <v>16</v>
      </c>
      <c r="B18" s="19" t="s">
        <v>13</v>
      </c>
      <c r="C18" s="15" t="s">
        <v>402</v>
      </c>
      <c r="D18" s="16">
        <v>2115.5100000000002</v>
      </c>
      <c r="E18" s="19" t="s">
        <v>13</v>
      </c>
      <c r="F18" s="19" t="s">
        <v>13</v>
      </c>
      <c r="G18" s="18">
        <v>300</v>
      </c>
      <c r="H18" s="18">
        <v>3</v>
      </c>
      <c r="I18" s="19">
        <f t="shared" si="1"/>
        <v>100</v>
      </c>
      <c r="J18" s="18">
        <v>3</v>
      </c>
      <c r="K18" s="19">
        <v>1</v>
      </c>
      <c r="L18" s="16">
        <v>9488.9599999999991</v>
      </c>
      <c r="M18" s="18">
        <v>1037</v>
      </c>
      <c r="N18" s="19" t="s">
        <v>13</v>
      </c>
      <c r="O18" s="40" t="s">
        <v>55</v>
      </c>
    </row>
    <row r="19" spans="1:15" ht="24.9" customHeight="1">
      <c r="A19" s="14">
        <v>17</v>
      </c>
      <c r="B19" s="19" t="s">
        <v>13</v>
      </c>
      <c r="C19" s="15" t="s">
        <v>328</v>
      </c>
      <c r="D19" s="16">
        <v>1494.16</v>
      </c>
      <c r="E19" s="19" t="s">
        <v>13</v>
      </c>
      <c r="F19" s="19" t="s">
        <v>13</v>
      </c>
      <c r="G19" s="18">
        <v>202</v>
      </c>
      <c r="H19" s="18">
        <v>5</v>
      </c>
      <c r="I19" s="19">
        <f t="shared" si="1"/>
        <v>40.4</v>
      </c>
      <c r="J19" s="18">
        <v>3</v>
      </c>
      <c r="K19" s="19" t="s">
        <v>13</v>
      </c>
      <c r="L19" s="16">
        <v>7305.91</v>
      </c>
      <c r="M19" s="18">
        <v>1053</v>
      </c>
      <c r="N19" s="20">
        <v>46192</v>
      </c>
      <c r="O19" s="40" t="s">
        <v>43</v>
      </c>
    </row>
    <row r="20" spans="1:15" ht="24.9" customHeight="1">
      <c r="A20" s="14">
        <v>18</v>
      </c>
      <c r="B20" s="19" t="s">
        <v>13</v>
      </c>
      <c r="C20" s="15" t="s">
        <v>407</v>
      </c>
      <c r="D20" s="16">
        <v>1472</v>
      </c>
      <c r="E20" s="19" t="s">
        <v>13</v>
      </c>
      <c r="F20" s="19" t="s">
        <v>13</v>
      </c>
      <c r="G20" s="18">
        <v>184</v>
      </c>
      <c r="H20" s="18">
        <v>1</v>
      </c>
      <c r="I20" s="19">
        <f t="shared" si="1"/>
        <v>184</v>
      </c>
      <c r="J20" s="18">
        <v>1</v>
      </c>
      <c r="K20" s="19" t="s">
        <v>13</v>
      </c>
      <c r="L20" s="16">
        <v>9978.4</v>
      </c>
      <c r="M20" s="18">
        <v>1433</v>
      </c>
      <c r="N20" s="19" t="s">
        <v>13</v>
      </c>
      <c r="O20" s="40" t="s">
        <v>86</v>
      </c>
    </row>
    <row r="21" spans="1:15" ht="24.9" customHeight="1">
      <c r="A21" s="14">
        <v>19</v>
      </c>
      <c r="B21" s="19" t="s">
        <v>13</v>
      </c>
      <c r="C21" s="15" t="s">
        <v>403</v>
      </c>
      <c r="D21" s="16">
        <v>1414.23</v>
      </c>
      <c r="E21" s="19" t="s">
        <v>13</v>
      </c>
      <c r="F21" s="19" t="s">
        <v>13</v>
      </c>
      <c r="G21" s="18">
        <v>215</v>
      </c>
      <c r="H21" s="18">
        <v>5</v>
      </c>
      <c r="I21" s="19">
        <f t="shared" si="1"/>
        <v>43</v>
      </c>
      <c r="J21" s="18">
        <v>5</v>
      </c>
      <c r="K21" s="19">
        <v>1</v>
      </c>
      <c r="L21" s="16">
        <v>9165.5400000000009</v>
      </c>
      <c r="M21" s="18">
        <v>980</v>
      </c>
      <c r="N21" s="19" t="s">
        <v>13</v>
      </c>
      <c r="O21" s="40" t="s">
        <v>55</v>
      </c>
    </row>
    <row r="22" spans="1:15" ht="24.9" customHeight="1">
      <c r="A22" s="14">
        <v>20</v>
      </c>
      <c r="B22" s="14">
        <v>9</v>
      </c>
      <c r="C22" s="15" t="s">
        <v>383</v>
      </c>
      <c r="D22" s="16">
        <v>1202.1500000000001</v>
      </c>
      <c r="E22" s="16">
        <v>8396.9</v>
      </c>
      <c r="F22" s="10">
        <f>(D22-E22)/E22</f>
        <v>-0.85683406971620479</v>
      </c>
      <c r="G22" s="18">
        <v>161</v>
      </c>
      <c r="H22" s="18">
        <v>8</v>
      </c>
      <c r="I22" s="19" t="s">
        <v>13</v>
      </c>
      <c r="J22" s="18">
        <v>5</v>
      </c>
      <c r="K22" s="19">
        <v>3</v>
      </c>
      <c r="L22" s="16">
        <v>48995</v>
      </c>
      <c r="M22" s="18">
        <v>6487</v>
      </c>
      <c r="N22" s="20">
        <v>46248</v>
      </c>
      <c r="O22" s="40" t="s">
        <v>207</v>
      </c>
    </row>
    <row r="23" spans="1:15" ht="24.9" customHeight="1">
      <c r="A23" s="14">
        <v>21</v>
      </c>
      <c r="B23" s="14">
        <v>10</v>
      </c>
      <c r="C23" s="15" t="s">
        <v>351</v>
      </c>
      <c r="D23" s="16">
        <v>928.91</v>
      </c>
      <c r="E23" s="16">
        <v>3225.85</v>
      </c>
      <c r="F23" s="10">
        <f>(D23-E23)/E23</f>
        <v>-0.71204178743586966</v>
      </c>
      <c r="G23" s="18">
        <v>146</v>
      </c>
      <c r="H23" s="18">
        <v>6</v>
      </c>
      <c r="I23" s="19">
        <f t="shared" ref="I23:I34" si="2">G23/H23</f>
        <v>24.333333333333332</v>
      </c>
      <c r="J23" s="18">
        <v>3</v>
      </c>
      <c r="K23" s="19">
        <v>8</v>
      </c>
      <c r="L23" s="16">
        <v>205871</v>
      </c>
      <c r="M23" s="18">
        <v>33382</v>
      </c>
      <c r="N23" s="20">
        <v>46213</v>
      </c>
      <c r="O23" s="40" t="s">
        <v>37</v>
      </c>
    </row>
    <row r="24" spans="1:15" ht="24.9" customHeight="1">
      <c r="A24" s="14">
        <v>22</v>
      </c>
      <c r="B24" s="14">
        <v>12</v>
      </c>
      <c r="C24" s="78" t="s">
        <v>346</v>
      </c>
      <c r="D24" s="16">
        <v>789.23</v>
      </c>
      <c r="E24" s="16">
        <v>2972.18</v>
      </c>
      <c r="F24" s="10">
        <f>(D24-E24)/E24</f>
        <v>-0.73446090075298265</v>
      </c>
      <c r="G24" s="18">
        <v>105</v>
      </c>
      <c r="H24" s="18">
        <v>5</v>
      </c>
      <c r="I24" s="19">
        <f t="shared" si="2"/>
        <v>21</v>
      </c>
      <c r="J24" s="18">
        <v>3</v>
      </c>
      <c r="K24" s="19">
        <v>9</v>
      </c>
      <c r="L24" s="16">
        <v>148964.70000000001</v>
      </c>
      <c r="M24" s="18">
        <v>19465</v>
      </c>
      <c r="N24" s="20">
        <v>46206</v>
      </c>
      <c r="O24" s="40" t="s">
        <v>42</v>
      </c>
    </row>
    <row r="25" spans="1:15" ht="24.9" customHeight="1">
      <c r="A25" s="14">
        <v>23</v>
      </c>
      <c r="B25" s="14">
        <v>20</v>
      </c>
      <c r="C25" s="15" t="s">
        <v>379</v>
      </c>
      <c r="D25" s="16">
        <v>789.23</v>
      </c>
      <c r="E25" s="16">
        <v>260.61</v>
      </c>
      <c r="F25" s="10">
        <f>(D25-E25)/E25</f>
        <v>2.0283949196116802</v>
      </c>
      <c r="G25" s="18">
        <v>105</v>
      </c>
      <c r="H25" s="18">
        <v>5</v>
      </c>
      <c r="I25" s="19">
        <f t="shared" si="2"/>
        <v>21</v>
      </c>
      <c r="J25" s="18">
        <v>3</v>
      </c>
      <c r="K25" s="19">
        <v>9</v>
      </c>
      <c r="L25" s="16">
        <v>148964.70000000001</v>
      </c>
      <c r="M25" s="18">
        <v>19465</v>
      </c>
      <c r="N25" s="20">
        <v>46241</v>
      </c>
      <c r="O25" s="40" t="s">
        <v>42</v>
      </c>
    </row>
    <row r="26" spans="1:15" ht="24.9" customHeight="1">
      <c r="A26" s="14">
        <v>24</v>
      </c>
      <c r="B26" s="19" t="s">
        <v>13</v>
      </c>
      <c r="C26" s="15" t="s">
        <v>404</v>
      </c>
      <c r="D26" s="16">
        <v>614.99</v>
      </c>
      <c r="E26" s="19" t="s">
        <v>13</v>
      </c>
      <c r="F26" s="19" t="s">
        <v>13</v>
      </c>
      <c r="G26" s="18">
        <v>78</v>
      </c>
      <c r="H26" s="18">
        <v>1</v>
      </c>
      <c r="I26" s="19">
        <f t="shared" si="2"/>
        <v>78</v>
      </c>
      <c r="J26" s="18">
        <v>1</v>
      </c>
      <c r="K26" s="19">
        <v>1</v>
      </c>
      <c r="L26" s="16">
        <v>7200.46</v>
      </c>
      <c r="M26" s="18">
        <v>744</v>
      </c>
      <c r="N26" s="19" t="s">
        <v>13</v>
      </c>
      <c r="O26" s="40" t="s">
        <v>55</v>
      </c>
    </row>
    <row r="27" spans="1:15" ht="24.9" customHeight="1">
      <c r="A27" s="14">
        <v>25</v>
      </c>
      <c r="B27" s="19" t="s">
        <v>13</v>
      </c>
      <c r="C27" s="15" t="s">
        <v>362</v>
      </c>
      <c r="D27" s="16">
        <v>502.48</v>
      </c>
      <c r="E27" s="19" t="s">
        <v>13</v>
      </c>
      <c r="F27" s="19" t="s">
        <v>13</v>
      </c>
      <c r="G27" s="18">
        <v>74</v>
      </c>
      <c r="H27" s="18">
        <v>6</v>
      </c>
      <c r="I27" s="19">
        <f t="shared" si="2"/>
        <v>12.333333333333334</v>
      </c>
      <c r="J27" s="18">
        <v>3</v>
      </c>
      <c r="K27" s="19" t="s">
        <v>13</v>
      </c>
      <c r="L27" s="16">
        <v>5510.99</v>
      </c>
      <c r="M27" s="18">
        <v>793</v>
      </c>
      <c r="N27" s="20">
        <v>46227</v>
      </c>
      <c r="O27" s="40" t="s">
        <v>43</v>
      </c>
    </row>
    <row r="28" spans="1:15" ht="24.9" customHeight="1">
      <c r="A28" s="14">
        <v>26</v>
      </c>
      <c r="B28" s="14">
        <v>13</v>
      </c>
      <c r="C28" s="15" t="s">
        <v>321</v>
      </c>
      <c r="D28" s="16">
        <v>441</v>
      </c>
      <c r="E28" s="16">
        <v>2201.16</v>
      </c>
      <c r="F28" s="10">
        <f>(D28-E28)/E28</f>
        <v>-0.79965109306002291</v>
      </c>
      <c r="G28" s="18">
        <v>55</v>
      </c>
      <c r="H28" s="18">
        <v>2</v>
      </c>
      <c r="I28" s="19">
        <f t="shared" si="2"/>
        <v>27.5</v>
      </c>
      <c r="J28" s="18">
        <v>1</v>
      </c>
      <c r="K28" s="19">
        <v>12</v>
      </c>
      <c r="L28" s="16">
        <v>433536</v>
      </c>
      <c r="M28" s="18">
        <v>55375</v>
      </c>
      <c r="N28" s="20">
        <v>46185</v>
      </c>
      <c r="O28" s="40" t="s">
        <v>94</v>
      </c>
    </row>
    <row r="29" spans="1:15" ht="24.9" customHeight="1">
      <c r="A29" s="14">
        <v>27</v>
      </c>
      <c r="B29" s="19" t="s">
        <v>13</v>
      </c>
      <c r="C29" s="15" t="s">
        <v>409</v>
      </c>
      <c r="D29" s="16">
        <v>382.31</v>
      </c>
      <c r="E29" s="19" t="s">
        <v>13</v>
      </c>
      <c r="F29" s="19" t="s">
        <v>13</v>
      </c>
      <c r="G29" s="18">
        <v>56</v>
      </c>
      <c r="H29" s="18">
        <v>7</v>
      </c>
      <c r="I29" s="19">
        <f t="shared" si="2"/>
        <v>8</v>
      </c>
      <c r="J29" s="18">
        <v>5</v>
      </c>
      <c r="K29" s="19" t="s">
        <v>13</v>
      </c>
      <c r="L29" s="16">
        <v>3408.1</v>
      </c>
      <c r="M29" s="18">
        <v>650</v>
      </c>
      <c r="N29" s="20">
        <v>46255</v>
      </c>
      <c r="O29" s="40" t="s">
        <v>43</v>
      </c>
    </row>
    <row r="30" spans="1:15" ht="24.9" customHeight="1">
      <c r="A30" s="14">
        <v>28</v>
      </c>
      <c r="B30" s="14">
        <v>21</v>
      </c>
      <c r="C30" s="8" t="s">
        <v>78</v>
      </c>
      <c r="D30" s="16">
        <v>361.43</v>
      </c>
      <c r="E30" s="16">
        <v>229.9</v>
      </c>
      <c r="F30" s="10">
        <f>(D30-E30)/E30</f>
        <v>0.57211831230969989</v>
      </c>
      <c r="G30" s="18">
        <v>38</v>
      </c>
      <c r="H30" s="18">
        <v>2</v>
      </c>
      <c r="I30" s="19">
        <f t="shared" si="2"/>
        <v>19</v>
      </c>
      <c r="J30" s="18">
        <v>1</v>
      </c>
      <c r="K30" s="19">
        <v>33</v>
      </c>
      <c r="L30" s="16">
        <v>153982.62</v>
      </c>
      <c r="M30" s="18">
        <v>21305</v>
      </c>
      <c r="N30" s="20">
        <v>46038</v>
      </c>
      <c r="O30" s="40" t="s">
        <v>47</v>
      </c>
    </row>
    <row r="31" spans="1:15" ht="24.9" customHeight="1">
      <c r="A31" s="14">
        <v>29</v>
      </c>
      <c r="B31" s="14">
        <v>11</v>
      </c>
      <c r="C31" s="15" t="s">
        <v>326</v>
      </c>
      <c r="D31" s="16">
        <v>254.6</v>
      </c>
      <c r="E31" s="16">
        <v>3112.83</v>
      </c>
      <c r="F31" s="10">
        <f>(D31-E31)/E31</f>
        <v>-0.91820947497935967</v>
      </c>
      <c r="G31" s="18">
        <v>44</v>
      </c>
      <c r="H31" s="18">
        <v>3</v>
      </c>
      <c r="I31" s="19">
        <f t="shared" si="2"/>
        <v>14.666666666666666</v>
      </c>
      <c r="J31" s="18">
        <v>1</v>
      </c>
      <c r="K31" s="19">
        <v>11</v>
      </c>
      <c r="L31" s="16">
        <v>404539</v>
      </c>
      <c r="M31" s="18">
        <v>67403</v>
      </c>
      <c r="N31" s="20">
        <v>46192</v>
      </c>
      <c r="O31" s="40" t="s">
        <v>37</v>
      </c>
    </row>
    <row r="32" spans="1:15" ht="24.9" customHeight="1">
      <c r="A32" s="14">
        <v>30</v>
      </c>
      <c r="B32" s="14">
        <v>14</v>
      </c>
      <c r="C32" s="15" t="s">
        <v>392</v>
      </c>
      <c r="D32" s="16">
        <v>197.48</v>
      </c>
      <c r="E32" s="16">
        <v>1828.3</v>
      </c>
      <c r="F32" s="10">
        <f>(D32-E32)/E32</f>
        <v>-0.89198709183394409</v>
      </c>
      <c r="G32" s="18">
        <v>31</v>
      </c>
      <c r="H32" s="18">
        <v>8</v>
      </c>
      <c r="I32" s="19">
        <f t="shared" si="2"/>
        <v>3.875</v>
      </c>
      <c r="J32" s="18">
        <v>4</v>
      </c>
      <c r="K32" s="19">
        <v>2</v>
      </c>
      <c r="L32" s="16">
        <v>3816.75</v>
      </c>
      <c r="M32" s="18">
        <v>686</v>
      </c>
      <c r="N32" s="20">
        <v>46255</v>
      </c>
      <c r="O32" s="40" t="s">
        <v>86</v>
      </c>
    </row>
    <row r="33" spans="1:15" ht="24.9" customHeight="1">
      <c r="A33" s="14">
        <v>31</v>
      </c>
      <c r="B33" s="14">
        <v>26</v>
      </c>
      <c r="C33" s="15" t="s">
        <v>302</v>
      </c>
      <c r="D33" s="16">
        <v>163.5</v>
      </c>
      <c r="E33" s="16">
        <v>110</v>
      </c>
      <c r="F33" s="10">
        <f>(D33-E33)/E33</f>
        <v>0.48636363636363639</v>
      </c>
      <c r="G33" s="18">
        <v>24</v>
      </c>
      <c r="H33" s="18">
        <v>1</v>
      </c>
      <c r="I33" s="19">
        <f t="shared" si="2"/>
        <v>24</v>
      </c>
      <c r="J33" s="18">
        <v>1</v>
      </c>
      <c r="K33" s="19">
        <v>24</v>
      </c>
      <c r="L33" s="16">
        <v>1801.11</v>
      </c>
      <c r="M33" s="18">
        <v>293</v>
      </c>
      <c r="N33" s="20">
        <v>46087</v>
      </c>
      <c r="O33" s="40" t="s">
        <v>47</v>
      </c>
    </row>
    <row r="34" spans="1:15" ht="24.9" customHeight="1">
      <c r="A34" s="14">
        <v>32</v>
      </c>
      <c r="B34" s="14">
        <v>19</v>
      </c>
      <c r="C34" s="15" t="s">
        <v>235</v>
      </c>
      <c r="D34" s="16">
        <v>117.35</v>
      </c>
      <c r="E34" s="16">
        <v>280.95</v>
      </c>
      <c r="F34" s="10">
        <f>(D34-E34)/E34</f>
        <v>-0.58231001957643713</v>
      </c>
      <c r="G34" s="18">
        <v>13</v>
      </c>
      <c r="H34" s="18">
        <v>1</v>
      </c>
      <c r="I34" s="19">
        <f t="shared" si="2"/>
        <v>13</v>
      </c>
      <c r="J34" s="18">
        <v>1</v>
      </c>
      <c r="K34" s="19">
        <v>21</v>
      </c>
      <c r="L34" s="16">
        <v>204810.57</v>
      </c>
      <c r="M34" s="18">
        <v>28241</v>
      </c>
      <c r="N34" s="20">
        <v>46122</v>
      </c>
      <c r="O34" s="40" t="s">
        <v>47</v>
      </c>
    </row>
    <row r="35" spans="1:15" ht="24.9" customHeight="1">
      <c r="A35" s="14">
        <v>33</v>
      </c>
      <c r="B35" s="19" t="s">
        <v>49</v>
      </c>
      <c r="C35" s="15" t="s">
        <v>408</v>
      </c>
      <c r="D35" s="16">
        <v>109</v>
      </c>
      <c r="E35" s="19" t="s">
        <v>13</v>
      </c>
      <c r="F35" s="19" t="s">
        <v>13</v>
      </c>
      <c r="G35" s="19" t="s">
        <v>13</v>
      </c>
      <c r="H35" s="18">
        <v>3</v>
      </c>
      <c r="I35" s="19" t="s">
        <v>13</v>
      </c>
      <c r="J35" s="19" t="s">
        <v>13</v>
      </c>
      <c r="K35" s="19">
        <v>1</v>
      </c>
      <c r="L35" s="16">
        <v>109</v>
      </c>
      <c r="M35" s="19" t="s">
        <v>13</v>
      </c>
      <c r="N35" s="20">
        <v>46262</v>
      </c>
      <c r="O35" s="40" t="s">
        <v>272</v>
      </c>
    </row>
    <row r="36" spans="1:15" ht="24.9" customHeight="1">
      <c r="A36" s="14">
        <v>34</v>
      </c>
      <c r="B36" s="14">
        <v>28</v>
      </c>
      <c r="C36" s="15" t="s">
        <v>380</v>
      </c>
      <c r="D36" s="16">
        <v>97.5</v>
      </c>
      <c r="E36" s="16">
        <v>71.599999999999994</v>
      </c>
      <c r="F36" s="10">
        <f>(D36-E36)/E36</f>
        <v>0.3617318435754191</v>
      </c>
      <c r="G36" s="18">
        <v>19</v>
      </c>
      <c r="H36" s="19">
        <v>2</v>
      </c>
      <c r="I36" s="19">
        <f>G36/H36</f>
        <v>9.5</v>
      </c>
      <c r="J36" s="18">
        <v>2</v>
      </c>
      <c r="K36" s="19">
        <v>4</v>
      </c>
      <c r="L36" s="16">
        <v>946.5</v>
      </c>
      <c r="M36" s="18">
        <v>151</v>
      </c>
      <c r="N36" s="20">
        <v>46241</v>
      </c>
      <c r="O36" s="40" t="s">
        <v>381</v>
      </c>
    </row>
    <row r="37" spans="1:15" ht="24.9" customHeight="1">
      <c r="A37" s="14">
        <v>35</v>
      </c>
      <c r="B37" s="14">
        <v>29</v>
      </c>
      <c r="C37" s="15" t="s">
        <v>366</v>
      </c>
      <c r="D37" s="16">
        <v>45</v>
      </c>
      <c r="E37" s="16">
        <v>66</v>
      </c>
      <c r="F37" s="10">
        <f>(D37-E37)/E37</f>
        <v>-0.31818181818181818</v>
      </c>
      <c r="G37" s="18">
        <v>9</v>
      </c>
      <c r="H37" s="19" t="s">
        <v>13</v>
      </c>
      <c r="I37" s="19" t="s">
        <v>13</v>
      </c>
      <c r="J37" s="18">
        <v>1</v>
      </c>
      <c r="K37" s="19">
        <v>6</v>
      </c>
      <c r="L37" s="16">
        <v>32928</v>
      </c>
      <c r="M37" s="18">
        <v>6558</v>
      </c>
      <c r="N37" s="20">
        <v>46227</v>
      </c>
      <c r="O37" s="40" t="s">
        <v>44</v>
      </c>
    </row>
    <row r="38" spans="1:15" ht="24.9" customHeight="1">
      <c r="A38" s="14">
        <v>36</v>
      </c>
      <c r="B38" s="14">
        <v>27</v>
      </c>
      <c r="C38" s="15" t="s">
        <v>257</v>
      </c>
      <c r="D38" s="16">
        <v>30</v>
      </c>
      <c r="E38" s="16">
        <v>80</v>
      </c>
      <c r="F38" s="10">
        <f>(D38-E38)/E38</f>
        <v>-0.625</v>
      </c>
      <c r="G38" s="18">
        <v>6</v>
      </c>
      <c r="H38" s="18">
        <v>1</v>
      </c>
      <c r="I38" s="19">
        <f>G38/H38</f>
        <v>6</v>
      </c>
      <c r="J38" s="18">
        <v>1</v>
      </c>
      <c r="K38" s="19" t="s">
        <v>13</v>
      </c>
      <c r="L38" s="16">
        <v>21216.06</v>
      </c>
      <c r="M38" s="18">
        <v>4319</v>
      </c>
      <c r="N38" s="20">
        <v>46143</v>
      </c>
      <c r="O38" s="40" t="s">
        <v>46</v>
      </c>
    </row>
    <row r="39" spans="1:15" ht="24.9" customHeight="1">
      <c r="A39" s="14">
        <v>37</v>
      </c>
      <c r="B39" s="14">
        <v>32</v>
      </c>
      <c r="C39" s="8" t="s">
        <v>329</v>
      </c>
      <c r="D39" s="16">
        <v>14</v>
      </c>
      <c r="E39" s="16">
        <v>42</v>
      </c>
      <c r="F39" s="10">
        <f>(D39-E39)/E39</f>
        <v>-0.66666666666666663</v>
      </c>
      <c r="G39" s="18">
        <v>2</v>
      </c>
      <c r="H39" s="18">
        <v>1</v>
      </c>
      <c r="I39" s="19">
        <f>G39/H39</f>
        <v>2</v>
      </c>
      <c r="J39" s="18">
        <v>1</v>
      </c>
      <c r="K39" s="19" t="s">
        <v>13</v>
      </c>
      <c r="L39" s="16">
        <v>5043.22</v>
      </c>
      <c r="M39" s="18">
        <v>740</v>
      </c>
      <c r="N39" s="13">
        <v>46192</v>
      </c>
      <c r="O39" s="39" t="s">
        <v>46</v>
      </c>
    </row>
    <row r="40" spans="1:15" s="1" customFormat="1" ht="24.75" customHeight="1">
      <c r="A40" s="25"/>
      <c r="B40" s="50" t="s">
        <v>14</v>
      </c>
      <c r="C40" s="61" t="s">
        <v>146</v>
      </c>
      <c r="D40" s="92">
        <f>SUBTOTAL(109,Table132456789101112131415161718192021222324252627282930313233343536[Pajamos 
(GBO)])</f>
        <v>239324.17000000007</v>
      </c>
      <c r="E40" s="92">
        <f>SUBTOTAL(109,Table132456789101112131415161718192021222324252627282930313233343536[Pajamos 
praeita sav.
(GBO LW)])</f>
        <v>392966.61000000004</v>
      </c>
      <c r="F40" s="43">
        <f>(D40-E40)/E40</f>
        <v>-0.3909809029321854</v>
      </c>
      <c r="G40" s="93">
        <f>SUBTOTAL(109,Table132456789101112131415161718192021222324252627282930313233343536[Žiūrovų sk. 
(ADM)])</f>
        <v>30768</v>
      </c>
      <c r="H40" s="36"/>
      <c r="I40" s="25"/>
      <c r="J40" s="36"/>
      <c r="K40" s="48"/>
      <c r="L40" s="32"/>
      <c r="M40" s="36"/>
      <c r="N40" s="38"/>
      <c r="O40" s="41"/>
    </row>
    <row r="41" spans="1:15"/>
    <row r="42" spans="1:15"/>
    <row r="43" spans="1:15" ht="9" customHeight="1"/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CA9FC-6DE5-44E5-9F93-53F3FF4C2B96}">
  <dimension ref="A1:XFC574"/>
  <sheetViews>
    <sheetView topLeftCell="A3" zoomScale="70" zoomScaleNormal="70" workbookViewId="0">
      <selection activeCell="C28" sqref="C28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389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4">
        <v>2</v>
      </c>
      <c r="C3" s="15" t="s">
        <v>357</v>
      </c>
      <c r="D3" s="16">
        <v>85903.89</v>
      </c>
      <c r="E3" s="16">
        <v>57097.55</v>
      </c>
      <c r="F3" s="10">
        <f>(D3-E3)/E3</f>
        <v>0.50451096413068508</v>
      </c>
      <c r="G3" s="18">
        <v>9074</v>
      </c>
      <c r="H3" s="18">
        <v>100</v>
      </c>
      <c r="I3" s="19">
        <f t="shared" ref="I3:I10" si="0">G3/H3</f>
        <v>90.74</v>
      </c>
      <c r="J3" s="18">
        <v>17</v>
      </c>
      <c r="K3" s="19">
        <v>6</v>
      </c>
      <c r="L3" s="16">
        <v>1350277</v>
      </c>
      <c r="M3" s="18">
        <v>149825</v>
      </c>
      <c r="N3" s="20">
        <v>46220</v>
      </c>
      <c r="O3" s="40" t="s">
        <v>207</v>
      </c>
    </row>
    <row r="4" spans="1:15" s="2" customFormat="1" ht="24.9" customHeight="1">
      <c r="A4" s="14">
        <v>2</v>
      </c>
      <c r="B4" s="14">
        <v>1</v>
      </c>
      <c r="C4" s="15" t="s">
        <v>370</v>
      </c>
      <c r="D4" s="16">
        <v>84320.55</v>
      </c>
      <c r="E4" s="16">
        <v>82158.89</v>
      </c>
      <c r="F4" s="10">
        <f>(D4-E4)/E4</f>
        <v>2.6310725473530663E-2</v>
      </c>
      <c r="G4" s="18">
        <v>9457</v>
      </c>
      <c r="H4" s="18">
        <v>144</v>
      </c>
      <c r="I4" s="19">
        <f t="shared" si="0"/>
        <v>65.673611111111114</v>
      </c>
      <c r="J4" s="18">
        <v>17</v>
      </c>
      <c r="K4" s="19">
        <v>4</v>
      </c>
      <c r="L4" s="16">
        <v>1033978.72</v>
      </c>
      <c r="M4" s="18">
        <v>127190</v>
      </c>
      <c r="N4" s="20">
        <v>46233</v>
      </c>
      <c r="O4" s="39" t="s">
        <v>39</v>
      </c>
    </row>
    <row r="5" spans="1:15" s="2" customFormat="1" ht="24.9" customHeight="1">
      <c r="A5" s="14">
        <v>3</v>
      </c>
      <c r="B5" s="19" t="s">
        <v>49</v>
      </c>
      <c r="C5" s="15" t="s">
        <v>393</v>
      </c>
      <c r="D5" s="16">
        <v>64540.98</v>
      </c>
      <c r="E5" s="19" t="s">
        <v>13</v>
      </c>
      <c r="F5" s="19" t="s">
        <v>13</v>
      </c>
      <c r="G5" s="18">
        <v>7703</v>
      </c>
      <c r="H5" s="18">
        <v>99</v>
      </c>
      <c r="I5" s="19">
        <f t="shared" si="0"/>
        <v>77.808080808080803</v>
      </c>
      <c r="J5" s="18">
        <v>15</v>
      </c>
      <c r="K5" s="19">
        <v>1</v>
      </c>
      <c r="L5" s="16">
        <v>74393.08</v>
      </c>
      <c r="M5" s="18">
        <v>8913</v>
      </c>
      <c r="N5" s="20">
        <v>46255</v>
      </c>
      <c r="O5" s="39" t="s">
        <v>39</v>
      </c>
    </row>
    <row r="6" spans="1:15" s="2" customFormat="1" ht="24.9" customHeight="1">
      <c r="A6" s="14">
        <v>4</v>
      </c>
      <c r="B6" s="14">
        <v>3</v>
      </c>
      <c r="C6" s="15" t="s">
        <v>384</v>
      </c>
      <c r="D6" s="16">
        <v>58678.52</v>
      </c>
      <c r="E6" s="16">
        <v>51376.03</v>
      </c>
      <c r="F6" s="10">
        <f>(D6-E6)/E6</f>
        <v>0.14213807489601665</v>
      </c>
      <c r="G6" s="18">
        <v>9555</v>
      </c>
      <c r="H6" s="18">
        <v>164</v>
      </c>
      <c r="I6" s="19">
        <f t="shared" si="0"/>
        <v>58.262195121951223</v>
      </c>
      <c r="J6" s="18">
        <v>19</v>
      </c>
      <c r="K6" s="19">
        <v>2</v>
      </c>
      <c r="L6" s="16">
        <v>165282</v>
      </c>
      <c r="M6" s="18">
        <v>27874</v>
      </c>
      <c r="N6" s="20">
        <v>46249</v>
      </c>
      <c r="O6" s="40" t="s">
        <v>310</v>
      </c>
    </row>
    <row r="7" spans="1:15" s="2" customFormat="1" ht="24.9" customHeight="1">
      <c r="A7" s="14">
        <v>5</v>
      </c>
      <c r="B7" s="14">
        <v>4</v>
      </c>
      <c r="C7" s="15" t="s">
        <v>343</v>
      </c>
      <c r="D7" s="16">
        <v>22750.58</v>
      </c>
      <c r="E7" s="16">
        <v>15786.53</v>
      </c>
      <c r="F7" s="10">
        <f>(D7-E7)/E7</f>
        <v>0.44113874296631372</v>
      </c>
      <c r="G7" s="18">
        <v>3526</v>
      </c>
      <c r="H7" s="18">
        <v>76</v>
      </c>
      <c r="I7" s="19">
        <f t="shared" si="0"/>
        <v>46.39473684210526</v>
      </c>
      <c r="J7" s="18">
        <v>17</v>
      </c>
      <c r="K7" s="19">
        <v>8</v>
      </c>
      <c r="L7" s="16">
        <v>1013151</v>
      </c>
      <c r="M7" s="18">
        <v>155923</v>
      </c>
      <c r="N7" s="20">
        <v>46204</v>
      </c>
      <c r="O7" s="40" t="s">
        <v>207</v>
      </c>
    </row>
    <row r="8" spans="1:15" s="2" customFormat="1" ht="24.9" customHeight="1">
      <c r="A8" s="14">
        <v>6</v>
      </c>
      <c r="B8" s="19" t="s">
        <v>49</v>
      </c>
      <c r="C8" s="15" t="s">
        <v>394</v>
      </c>
      <c r="D8" s="16">
        <v>21583.77</v>
      </c>
      <c r="E8" s="19" t="s">
        <v>13</v>
      </c>
      <c r="F8" s="19" t="s">
        <v>13</v>
      </c>
      <c r="G8" s="18">
        <v>2497</v>
      </c>
      <c r="H8" s="18">
        <v>83</v>
      </c>
      <c r="I8" s="19">
        <f t="shared" si="0"/>
        <v>30.08433734939759</v>
      </c>
      <c r="J8" s="18">
        <v>15</v>
      </c>
      <c r="K8" s="19">
        <v>1</v>
      </c>
      <c r="L8" s="16">
        <v>30910.57</v>
      </c>
      <c r="M8" s="18">
        <v>3373</v>
      </c>
      <c r="N8" s="20">
        <v>46255</v>
      </c>
      <c r="O8" s="40" t="s">
        <v>42</v>
      </c>
    </row>
    <row r="9" spans="1:15" s="2" customFormat="1" ht="24.9" customHeight="1">
      <c r="A9" s="14">
        <v>7</v>
      </c>
      <c r="B9" s="19" t="s">
        <v>49</v>
      </c>
      <c r="C9" s="15" t="s">
        <v>390</v>
      </c>
      <c r="D9" s="16">
        <v>20354.900000000001</v>
      </c>
      <c r="E9" s="19" t="s">
        <v>13</v>
      </c>
      <c r="F9" s="19" t="s">
        <v>13</v>
      </c>
      <c r="G9" s="18">
        <v>2557</v>
      </c>
      <c r="H9" s="18">
        <v>62</v>
      </c>
      <c r="I9" s="19">
        <f t="shared" si="0"/>
        <v>41.241935483870968</v>
      </c>
      <c r="J9" s="18">
        <v>14</v>
      </c>
      <c r="K9" s="19">
        <v>1</v>
      </c>
      <c r="L9" s="16">
        <v>20355</v>
      </c>
      <c r="M9" s="18">
        <v>2557</v>
      </c>
      <c r="N9" s="20">
        <v>46255</v>
      </c>
      <c r="O9" s="40" t="s">
        <v>94</v>
      </c>
    </row>
    <row r="10" spans="1:15" s="2" customFormat="1" ht="24.9" customHeight="1">
      <c r="A10" s="14">
        <v>8</v>
      </c>
      <c r="B10" s="14">
        <v>5</v>
      </c>
      <c r="C10" s="15" t="s">
        <v>386</v>
      </c>
      <c r="D10" s="16">
        <v>11955.14</v>
      </c>
      <c r="E10" s="16">
        <v>14264.88</v>
      </c>
      <c r="F10" s="10">
        <f t="shared" ref="F10:F15" si="1">(D10-E10)/E10</f>
        <v>-0.16191794112533719</v>
      </c>
      <c r="G10" s="18">
        <v>1549</v>
      </c>
      <c r="H10" s="18">
        <v>50</v>
      </c>
      <c r="I10" s="19">
        <f t="shared" si="0"/>
        <v>30.98</v>
      </c>
      <c r="J10" s="18">
        <v>10</v>
      </c>
      <c r="K10" s="19">
        <v>2</v>
      </c>
      <c r="L10" s="16">
        <v>44421.8</v>
      </c>
      <c r="M10" s="18">
        <v>6015</v>
      </c>
      <c r="N10" s="20">
        <v>46248</v>
      </c>
      <c r="O10" s="40" t="s">
        <v>55</v>
      </c>
    </row>
    <row r="11" spans="1:15" s="2" customFormat="1" ht="24.9" customHeight="1">
      <c r="A11" s="14">
        <v>9</v>
      </c>
      <c r="B11" s="14">
        <v>6</v>
      </c>
      <c r="C11" s="15" t="s">
        <v>383</v>
      </c>
      <c r="D11" s="16">
        <v>8396.9</v>
      </c>
      <c r="E11" s="16">
        <v>12380.23</v>
      </c>
      <c r="F11" s="10">
        <f t="shared" si="1"/>
        <v>-0.3217492728325726</v>
      </c>
      <c r="G11" s="18">
        <v>1049</v>
      </c>
      <c r="H11" s="18">
        <v>38</v>
      </c>
      <c r="I11" s="19" t="s">
        <v>13</v>
      </c>
      <c r="J11" s="18">
        <v>12</v>
      </c>
      <c r="K11" s="19">
        <v>2</v>
      </c>
      <c r="L11" s="16">
        <v>43291</v>
      </c>
      <c r="M11" s="18">
        <v>5619</v>
      </c>
      <c r="N11" s="20">
        <v>46248</v>
      </c>
      <c r="O11" s="40" t="s">
        <v>207</v>
      </c>
    </row>
    <row r="12" spans="1:15" s="2" customFormat="1" ht="24.9" customHeight="1">
      <c r="A12" s="14">
        <v>10</v>
      </c>
      <c r="B12" s="14">
        <v>7</v>
      </c>
      <c r="C12" s="15" t="s">
        <v>351</v>
      </c>
      <c r="D12" s="16">
        <v>3225.85</v>
      </c>
      <c r="E12" s="16">
        <v>3414.95</v>
      </c>
      <c r="F12" s="10">
        <f t="shared" si="1"/>
        <v>-5.5374163604152309E-2</v>
      </c>
      <c r="G12" s="18">
        <v>504</v>
      </c>
      <c r="H12" s="18">
        <v>10</v>
      </c>
      <c r="I12" s="19">
        <f t="shared" ref="I12:I23" si="2">G12/H12</f>
        <v>50.4</v>
      </c>
      <c r="J12" s="18">
        <v>5</v>
      </c>
      <c r="K12" s="19">
        <v>7</v>
      </c>
      <c r="L12" s="16">
        <v>203118</v>
      </c>
      <c r="M12" s="18">
        <v>32909</v>
      </c>
      <c r="N12" s="20">
        <v>46213</v>
      </c>
      <c r="O12" s="40" t="s">
        <v>37</v>
      </c>
    </row>
    <row r="13" spans="1:15" s="2" customFormat="1" ht="24.9" customHeight="1">
      <c r="A13" s="14">
        <v>11</v>
      </c>
      <c r="B13" s="14">
        <v>10</v>
      </c>
      <c r="C13" s="15" t="s">
        <v>326</v>
      </c>
      <c r="D13" s="16">
        <v>3112.83</v>
      </c>
      <c r="E13" s="16">
        <v>2616.9</v>
      </c>
      <c r="F13" s="10">
        <f t="shared" si="1"/>
        <v>0.18951048951048943</v>
      </c>
      <c r="G13" s="18">
        <v>486</v>
      </c>
      <c r="H13" s="18">
        <v>12</v>
      </c>
      <c r="I13" s="19">
        <f t="shared" si="2"/>
        <v>40.5</v>
      </c>
      <c r="J13" s="18">
        <v>3</v>
      </c>
      <c r="K13" s="19">
        <v>10</v>
      </c>
      <c r="L13" s="16">
        <v>401924</v>
      </c>
      <c r="M13" s="18">
        <v>66946</v>
      </c>
      <c r="N13" s="20">
        <v>46192</v>
      </c>
      <c r="O13" s="40" t="s">
        <v>37</v>
      </c>
    </row>
    <row r="14" spans="1:15" ht="24.9" customHeight="1">
      <c r="A14" s="14">
        <v>12</v>
      </c>
      <c r="B14" s="14">
        <v>11</v>
      </c>
      <c r="C14" s="15" t="s">
        <v>346</v>
      </c>
      <c r="D14" s="16">
        <v>2972.18</v>
      </c>
      <c r="E14" s="16">
        <v>1793.9</v>
      </c>
      <c r="F14" s="10">
        <f t="shared" si="1"/>
        <v>0.65682591002842949</v>
      </c>
      <c r="G14" s="18">
        <v>376</v>
      </c>
      <c r="H14" s="18">
        <v>11</v>
      </c>
      <c r="I14" s="19">
        <f t="shared" si="2"/>
        <v>34.18181818181818</v>
      </c>
      <c r="J14" s="18">
        <v>3</v>
      </c>
      <c r="K14" s="19">
        <v>8</v>
      </c>
      <c r="L14" s="16">
        <v>147031.75</v>
      </c>
      <c r="M14" s="18">
        <v>19196</v>
      </c>
      <c r="N14" s="20">
        <v>46206</v>
      </c>
      <c r="O14" s="40" t="s">
        <v>42</v>
      </c>
    </row>
    <row r="15" spans="1:15" ht="24.9" customHeight="1">
      <c r="A15" s="14">
        <v>13</v>
      </c>
      <c r="B15" s="14">
        <v>9</v>
      </c>
      <c r="C15" s="15" t="s">
        <v>321</v>
      </c>
      <c r="D15" s="16">
        <v>2201.16</v>
      </c>
      <c r="E15" s="16">
        <v>3007.24</v>
      </c>
      <c r="F15" s="10">
        <f t="shared" si="1"/>
        <v>-0.26804644790572085</v>
      </c>
      <c r="G15" s="18">
        <v>277</v>
      </c>
      <c r="H15" s="18">
        <v>7</v>
      </c>
      <c r="I15" s="19">
        <f t="shared" si="2"/>
        <v>39.571428571428569</v>
      </c>
      <c r="J15" s="18">
        <v>3</v>
      </c>
      <c r="K15" s="19">
        <v>11</v>
      </c>
      <c r="L15" s="16">
        <v>431520</v>
      </c>
      <c r="M15" s="18">
        <v>55073</v>
      </c>
      <c r="N15" s="20">
        <v>46185</v>
      </c>
      <c r="O15" s="40" t="s">
        <v>94</v>
      </c>
    </row>
    <row r="16" spans="1:15" ht="24.9" customHeight="1">
      <c r="A16" s="14">
        <v>14</v>
      </c>
      <c r="B16" s="19" t="s">
        <v>49</v>
      </c>
      <c r="C16" s="15" t="s">
        <v>392</v>
      </c>
      <c r="D16" s="16">
        <v>1828.3</v>
      </c>
      <c r="E16" s="19" t="s">
        <v>13</v>
      </c>
      <c r="F16" s="19" t="s">
        <v>13</v>
      </c>
      <c r="G16" s="18">
        <v>313</v>
      </c>
      <c r="H16" s="18">
        <v>16</v>
      </c>
      <c r="I16" s="19">
        <f t="shared" si="2"/>
        <v>19.5625</v>
      </c>
      <c r="J16" s="18">
        <v>7</v>
      </c>
      <c r="K16" s="19">
        <v>1</v>
      </c>
      <c r="L16" s="16">
        <v>1828.3</v>
      </c>
      <c r="M16" s="18">
        <v>313</v>
      </c>
      <c r="N16" s="20">
        <v>46255</v>
      </c>
      <c r="O16" s="40" t="s">
        <v>86</v>
      </c>
    </row>
    <row r="17" spans="1:15" ht="24.9" customHeight="1">
      <c r="A17" s="14">
        <v>15</v>
      </c>
      <c r="B17" s="19">
        <v>29</v>
      </c>
      <c r="C17" s="8" t="s">
        <v>266</v>
      </c>
      <c r="D17" s="16">
        <v>1828.3</v>
      </c>
      <c r="E17" s="16">
        <v>29.8</v>
      </c>
      <c r="F17" s="10">
        <f>(D17-E17)/E17</f>
        <v>60.352348993288587</v>
      </c>
      <c r="G17" s="18">
        <v>313</v>
      </c>
      <c r="H17" s="18">
        <v>16</v>
      </c>
      <c r="I17" s="19">
        <f t="shared" si="2"/>
        <v>19.5625</v>
      </c>
      <c r="J17" s="18">
        <v>7</v>
      </c>
      <c r="K17" s="19">
        <v>16</v>
      </c>
      <c r="L17" s="16">
        <v>1828.3</v>
      </c>
      <c r="M17" s="18">
        <v>313</v>
      </c>
      <c r="N17" s="20">
        <v>46150</v>
      </c>
      <c r="O17" s="40" t="s">
        <v>86</v>
      </c>
    </row>
    <row r="18" spans="1:15" ht="24.9" customHeight="1">
      <c r="A18" s="14">
        <v>16</v>
      </c>
      <c r="B18" s="19" t="s">
        <v>13</v>
      </c>
      <c r="C18" s="15" t="s">
        <v>395</v>
      </c>
      <c r="D18" s="16">
        <v>952</v>
      </c>
      <c r="E18" s="19" t="s">
        <v>13</v>
      </c>
      <c r="F18" s="19" t="s">
        <v>13</v>
      </c>
      <c r="G18" s="18">
        <v>119</v>
      </c>
      <c r="H18" s="18">
        <v>1</v>
      </c>
      <c r="I18" s="19">
        <f t="shared" si="2"/>
        <v>119</v>
      </c>
      <c r="J18" s="18">
        <v>1</v>
      </c>
      <c r="K18" s="19" t="s">
        <v>13</v>
      </c>
      <c r="L18" s="16">
        <v>1568.72</v>
      </c>
      <c r="M18" s="18">
        <v>230</v>
      </c>
      <c r="N18" s="20">
        <v>44655</v>
      </c>
      <c r="O18" s="40" t="s">
        <v>47</v>
      </c>
    </row>
    <row r="19" spans="1:15" ht="24.9" customHeight="1">
      <c r="A19" s="14">
        <v>17</v>
      </c>
      <c r="B19" s="19" t="s">
        <v>13</v>
      </c>
      <c r="C19" s="77" t="s">
        <v>29</v>
      </c>
      <c r="D19" s="16">
        <v>724.54</v>
      </c>
      <c r="E19" s="19" t="s">
        <v>13</v>
      </c>
      <c r="F19" s="19" t="s">
        <v>13</v>
      </c>
      <c r="G19" s="18">
        <v>304</v>
      </c>
      <c r="H19" s="18">
        <v>12</v>
      </c>
      <c r="I19" s="19">
        <f t="shared" si="2"/>
        <v>25.333333333333332</v>
      </c>
      <c r="J19" s="18">
        <v>4</v>
      </c>
      <c r="K19" s="19" t="s">
        <v>13</v>
      </c>
      <c r="L19" s="16">
        <v>34717.43</v>
      </c>
      <c r="M19" s="18">
        <v>6548</v>
      </c>
      <c r="N19" s="20">
        <v>46024</v>
      </c>
      <c r="O19" s="39" t="s">
        <v>46</v>
      </c>
    </row>
    <row r="20" spans="1:15" ht="24.9" customHeight="1">
      <c r="A20" s="14">
        <v>18</v>
      </c>
      <c r="B20" s="19" t="s">
        <v>13</v>
      </c>
      <c r="C20" s="77" t="s">
        <v>135</v>
      </c>
      <c r="D20" s="16">
        <v>463.04</v>
      </c>
      <c r="E20" s="19" t="s">
        <v>13</v>
      </c>
      <c r="F20" s="19" t="s">
        <v>13</v>
      </c>
      <c r="G20" s="18">
        <v>194</v>
      </c>
      <c r="H20" s="18">
        <v>12</v>
      </c>
      <c r="I20" s="19">
        <f t="shared" si="2"/>
        <v>16.166666666666668</v>
      </c>
      <c r="J20" s="18">
        <v>4</v>
      </c>
      <c r="K20" s="19" t="s">
        <v>13</v>
      </c>
      <c r="L20" s="16">
        <v>75265.89</v>
      </c>
      <c r="M20" s="18">
        <v>13382</v>
      </c>
      <c r="N20" s="20">
        <v>46066</v>
      </c>
      <c r="O20" s="39" t="s">
        <v>46</v>
      </c>
    </row>
    <row r="21" spans="1:15" ht="24.9" customHeight="1">
      <c r="A21" s="14">
        <v>19</v>
      </c>
      <c r="B21" s="14">
        <v>18</v>
      </c>
      <c r="C21" s="15" t="s">
        <v>235</v>
      </c>
      <c r="D21" s="16">
        <v>280.95</v>
      </c>
      <c r="E21" s="16">
        <v>245.3</v>
      </c>
      <c r="F21" s="10">
        <f>(D21-E21)/E21</f>
        <v>0.14533224622910712</v>
      </c>
      <c r="G21" s="18">
        <v>27</v>
      </c>
      <c r="H21" s="18">
        <v>2</v>
      </c>
      <c r="I21" s="19">
        <f t="shared" si="2"/>
        <v>13.5</v>
      </c>
      <c r="J21" s="18">
        <v>1</v>
      </c>
      <c r="K21" s="19">
        <v>20</v>
      </c>
      <c r="L21" s="16">
        <v>204422.36</v>
      </c>
      <c r="M21" s="18">
        <v>28195</v>
      </c>
      <c r="N21" s="20">
        <v>46122</v>
      </c>
      <c r="O21" s="40" t="s">
        <v>47</v>
      </c>
    </row>
    <row r="22" spans="1:15" ht="24.9" customHeight="1">
      <c r="A22" s="14">
        <v>20</v>
      </c>
      <c r="B22" s="14">
        <v>8</v>
      </c>
      <c r="C22" s="15" t="s">
        <v>379</v>
      </c>
      <c r="D22" s="16">
        <v>260.61</v>
      </c>
      <c r="E22" s="16">
        <v>3013.44</v>
      </c>
      <c r="F22" s="10">
        <f>(D22-E22)/E22</f>
        <v>-0.91351744186046513</v>
      </c>
      <c r="G22" s="18">
        <v>32</v>
      </c>
      <c r="H22" s="18">
        <v>2</v>
      </c>
      <c r="I22" s="19">
        <f t="shared" si="2"/>
        <v>16</v>
      </c>
      <c r="J22" s="18">
        <v>1</v>
      </c>
      <c r="K22" s="19">
        <v>3</v>
      </c>
      <c r="L22" s="16">
        <v>23289.47</v>
      </c>
      <c r="M22" s="18">
        <v>3061</v>
      </c>
      <c r="N22" s="20">
        <v>46241</v>
      </c>
      <c r="O22" s="40" t="s">
        <v>42</v>
      </c>
    </row>
    <row r="23" spans="1:15" ht="24.9" customHeight="1">
      <c r="A23" s="14">
        <v>21</v>
      </c>
      <c r="B23" s="14">
        <v>26</v>
      </c>
      <c r="C23" s="8" t="s">
        <v>78</v>
      </c>
      <c r="D23" s="16">
        <v>229.9</v>
      </c>
      <c r="E23" s="16">
        <v>42.6</v>
      </c>
      <c r="F23" s="10">
        <f>(D23-E23)/E23</f>
        <v>4.396713615023474</v>
      </c>
      <c r="G23" s="18">
        <v>22</v>
      </c>
      <c r="H23" s="18">
        <v>1</v>
      </c>
      <c r="I23" s="19">
        <f t="shared" si="2"/>
        <v>22</v>
      </c>
      <c r="J23" s="18">
        <v>1</v>
      </c>
      <c r="K23" s="19">
        <v>32</v>
      </c>
      <c r="L23" s="16">
        <v>153610.74</v>
      </c>
      <c r="M23" s="18">
        <v>21265</v>
      </c>
      <c r="N23" s="20">
        <v>46038</v>
      </c>
      <c r="O23" s="40" t="s">
        <v>47</v>
      </c>
    </row>
    <row r="24" spans="1:15" ht="24.9" customHeight="1">
      <c r="A24" s="14">
        <v>22</v>
      </c>
      <c r="B24" s="14">
        <v>20</v>
      </c>
      <c r="C24" s="15" t="s">
        <v>318</v>
      </c>
      <c r="D24" s="16">
        <v>228</v>
      </c>
      <c r="E24" s="16">
        <v>151</v>
      </c>
      <c r="F24" s="10">
        <f>(D24-E24)/E24</f>
        <v>0.50993377483443714</v>
      </c>
      <c r="G24" s="18">
        <v>32</v>
      </c>
      <c r="H24" s="19" t="s">
        <v>13</v>
      </c>
      <c r="I24" s="19" t="s">
        <v>13</v>
      </c>
      <c r="J24" s="18">
        <v>3</v>
      </c>
      <c r="K24" s="19">
        <v>11</v>
      </c>
      <c r="L24" s="16">
        <v>17219</v>
      </c>
      <c r="M24" s="18">
        <v>2804</v>
      </c>
      <c r="N24" s="20">
        <v>46185</v>
      </c>
      <c r="O24" s="40" t="s">
        <v>44</v>
      </c>
    </row>
    <row r="25" spans="1:15" ht="24.6" customHeight="1">
      <c r="A25" s="14">
        <v>23</v>
      </c>
      <c r="B25" s="14">
        <v>22</v>
      </c>
      <c r="C25" s="15" t="s">
        <v>251</v>
      </c>
      <c r="D25" s="16">
        <v>182.73</v>
      </c>
      <c r="E25" s="16">
        <v>104.18</v>
      </c>
      <c r="F25" s="10">
        <f>(D25-E25)/E25</f>
        <v>0.75398349011326526</v>
      </c>
      <c r="G25" s="18">
        <v>35</v>
      </c>
      <c r="H25" s="18">
        <v>1</v>
      </c>
      <c r="I25" s="19">
        <f>G25/H25</f>
        <v>35</v>
      </c>
      <c r="J25" s="18">
        <v>1</v>
      </c>
      <c r="K25" s="19">
        <v>18</v>
      </c>
      <c r="L25" s="16">
        <v>702645</v>
      </c>
      <c r="M25" s="18">
        <v>92802</v>
      </c>
      <c r="N25" s="20">
        <v>46136</v>
      </c>
      <c r="O25" s="40" t="s">
        <v>207</v>
      </c>
    </row>
    <row r="26" spans="1:15" ht="24.9" customHeight="1">
      <c r="A26" s="14">
        <v>24</v>
      </c>
      <c r="B26" s="19" t="s">
        <v>13</v>
      </c>
      <c r="C26" s="15" t="s">
        <v>234</v>
      </c>
      <c r="D26" s="16">
        <v>169.5</v>
      </c>
      <c r="E26" s="19" t="s">
        <v>13</v>
      </c>
      <c r="F26" s="19" t="s">
        <v>13</v>
      </c>
      <c r="G26" s="18">
        <v>25</v>
      </c>
      <c r="H26" s="18">
        <v>1</v>
      </c>
      <c r="I26" s="19">
        <f>G26/H26</f>
        <v>25</v>
      </c>
      <c r="J26" s="18">
        <v>1</v>
      </c>
      <c r="K26" s="19" t="s">
        <v>13</v>
      </c>
      <c r="L26" s="16">
        <v>2295.17</v>
      </c>
      <c r="M26" s="18">
        <v>340</v>
      </c>
      <c r="N26" s="20">
        <v>46104</v>
      </c>
      <c r="O26" s="40" t="s">
        <v>47</v>
      </c>
    </row>
    <row r="27" spans="1:15" ht="24.9" customHeight="1">
      <c r="A27" s="14">
        <v>25</v>
      </c>
      <c r="B27" s="19" t="s">
        <v>13</v>
      </c>
      <c r="C27" s="77" t="s">
        <v>184</v>
      </c>
      <c r="D27" s="16">
        <v>167.5</v>
      </c>
      <c r="E27" s="19" t="s">
        <v>13</v>
      </c>
      <c r="F27" s="19" t="s">
        <v>13</v>
      </c>
      <c r="G27" s="18">
        <v>30</v>
      </c>
      <c r="H27" s="18">
        <v>1</v>
      </c>
      <c r="I27" s="19">
        <f>G27/H27</f>
        <v>30</v>
      </c>
      <c r="J27" s="18">
        <v>1</v>
      </c>
      <c r="K27" s="19">
        <v>23</v>
      </c>
      <c r="L27" s="16">
        <v>700718.82</v>
      </c>
      <c r="M27" s="18">
        <v>79589</v>
      </c>
      <c r="N27" s="13">
        <v>46101</v>
      </c>
      <c r="O27" s="39" t="s">
        <v>39</v>
      </c>
    </row>
    <row r="28" spans="1:15" ht="24.9" customHeight="1">
      <c r="A28" s="14">
        <v>26</v>
      </c>
      <c r="B28" s="14">
        <v>24</v>
      </c>
      <c r="C28" s="15" t="s">
        <v>302</v>
      </c>
      <c r="D28" s="16">
        <v>110</v>
      </c>
      <c r="E28" s="16">
        <v>71.5</v>
      </c>
      <c r="F28" s="10">
        <f>(D28-E28)/E28</f>
        <v>0.53846153846153844</v>
      </c>
      <c r="G28" s="18">
        <v>16</v>
      </c>
      <c r="H28" s="18">
        <v>1</v>
      </c>
      <c r="I28" s="19">
        <f>G28/H28</f>
        <v>16</v>
      </c>
      <c r="J28" s="18">
        <v>1</v>
      </c>
      <c r="K28" s="19">
        <v>23</v>
      </c>
      <c r="L28" s="16">
        <v>1637.61</v>
      </c>
      <c r="M28" s="18">
        <v>269</v>
      </c>
      <c r="N28" s="20">
        <v>46087</v>
      </c>
      <c r="O28" s="40" t="s">
        <v>47</v>
      </c>
    </row>
    <row r="29" spans="1:15" ht="24.9" customHeight="1">
      <c r="A29" s="14">
        <v>27</v>
      </c>
      <c r="B29" s="14">
        <v>28</v>
      </c>
      <c r="C29" s="15" t="s">
        <v>257</v>
      </c>
      <c r="D29" s="16">
        <v>80</v>
      </c>
      <c r="E29" s="16">
        <v>30</v>
      </c>
      <c r="F29" s="10">
        <f>(D29-E29)/E29</f>
        <v>1.6666666666666667</v>
      </c>
      <c r="G29" s="18">
        <v>16</v>
      </c>
      <c r="H29" s="18">
        <v>1</v>
      </c>
      <c r="I29" s="19">
        <f>G29/H29</f>
        <v>16</v>
      </c>
      <c r="J29" s="18">
        <v>1</v>
      </c>
      <c r="K29" s="19" t="s">
        <v>13</v>
      </c>
      <c r="L29" s="16">
        <v>21186.06</v>
      </c>
      <c r="M29" s="18">
        <v>4313</v>
      </c>
      <c r="N29" s="20">
        <v>46143</v>
      </c>
      <c r="O29" s="40" t="s">
        <v>46</v>
      </c>
    </row>
    <row r="30" spans="1:15" ht="24.9" customHeight="1">
      <c r="A30" s="14">
        <v>28</v>
      </c>
      <c r="B30" s="14">
        <v>23</v>
      </c>
      <c r="C30" s="15" t="s">
        <v>380</v>
      </c>
      <c r="D30" s="16">
        <v>71.599999999999994</v>
      </c>
      <c r="E30" s="16">
        <v>71.5</v>
      </c>
      <c r="F30" s="10">
        <f>(D30-E30)/E30</f>
        <v>1.398601398601319E-3</v>
      </c>
      <c r="G30" s="18">
        <v>9</v>
      </c>
      <c r="H30" s="19">
        <v>1</v>
      </c>
      <c r="I30" s="19"/>
      <c r="J30" s="18">
        <v>1</v>
      </c>
      <c r="K30" s="19">
        <v>3</v>
      </c>
      <c r="L30" s="16">
        <v>848</v>
      </c>
      <c r="M30" s="18">
        <v>129</v>
      </c>
      <c r="N30" s="20">
        <v>46241</v>
      </c>
      <c r="O30" s="40" t="s">
        <v>381</v>
      </c>
    </row>
    <row r="31" spans="1:15" ht="24.9" customHeight="1">
      <c r="A31" s="14">
        <v>29</v>
      </c>
      <c r="B31" s="14">
        <v>14</v>
      </c>
      <c r="C31" s="15" t="s">
        <v>366</v>
      </c>
      <c r="D31" s="16">
        <v>66</v>
      </c>
      <c r="E31" s="16">
        <v>524</v>
      </c>
      <c r="F31" s="10">
        <f>(D31-E31)/E31</f>
        <v>-0.87404580152671751</v>
      </c>
      <c r="G31" s="18">
        <v>18</v>
      </c>
      <c r="H31" s="19" t="s">
        <v>13</v>
      </c>
      <c r="I31" s="19" t="s">
        <v>13</v>
      </c>
      <c r="J31" s="18">
        <v>2</v>
      </c>
      <c r="K31" s="19">
        <v>5</v>
      </c>
      <c r="L31" s="16">
        <v>32617</v>
      </c>
      <c r="M31" s="18">
        <v>6478</v>
      </c>
      <c r="N31" s="20">
        <v>46227</v>
      </c>
      <c r="O31" s="40" t="s">
        <v>44</v>
      </c>
    </row>
    <row r="32" spans="1:15" ht="24.9" customHeight="1">
      <c r="A32" s="14">
        <v>30</v>
      </c>
      <c r="B32" s="19" t="s">
        <v>13</v>
      </c>
      <c r="C32" s="15" t="s">
        <v>391</v>
      </c>
      <c r="D32" s="16">
        <v>60.65</v>
      </c>
      <c r="E32" s="19" t="s">
        <v>13</v>
      </c>
      <c r="F32" s="19" t="s">
        <v>13</v>
      </c>
      <c r="G32" s="18">
        <v>7</v>
      </c>
      <c r="H32" s="18">
        <v>1</v>
      </c>
      <c r="I32" s="19">
        <f>G32/H32</f>
        <v>7</v>
      </c>
      <c r="J32" s="18">
        <v>1</v>
      </c>
      <c r="K32" s="19">
        <v>17</v>
      </c>
      <c r="L32" s="16">
        <v>939050</v>
      </c>
      <c r="M32" s="18">
        <v>112705</v>
      </c>
      <c r="N32" s="13">
        <v>46143</v>
      </c>
      <c r="O32" s="39" t="s">
        <v>37</v>
      </c>
    </row>
    <row r="33" spans="1:15" ht="24.9" customHeight="1">
      <c r="A33" s="14">
        <v>31</v>
      </c>
      <c r="B33" s="19" t="s">
        <v>13</v>
      </c>
      <c r="C33" s="15" t="s">
        <v>371</v>
      </c>
      <c r="D33" s="16">
        <v>49</v>
      </c>
      <c r="E33" s="19" t="s">
        <v>13</v>
      </c>
      <c r="F33" s="19" t="s">
        <v>13</v>
      </c>
      <c r="G33" s="18">
        <v>11</v>
      </c>
      <c r="H33" s="18">
        <v>2</v>
      </c>
      <c r="I33" s="19">
        <f>G33/H33</f>
        <v>5.5</v>
      </c>
      <c r="J33" s="18">
        <v>1</v>
      </c>
      <c r="K33" s="19" t="s">
        <v>13</v>
      </c>
      <c r="L33" s="16">
        <v>778.3</v>
      </c>
      <c r="M33" s="18">
        <v>131</v>
      </c>
      <c r="N33" s="20">
        <v>46104</v>
      </c>
      <c r="O33" s="40" t="s">
        <v>47</v>
      </c>
    </row>
    <row r="34" spans="1:15" ht="24.9" customHeight="1">
      <c r="A34" s="14">
        <v>32</v>
      </c>
      <c r="B34" s="19" t="s">
        <v>13</v>
      </c>
      <c r="C34" s="91" t="s">
        <v>329</v>
      </c>
      <c r="D34" s="16">
        <v>42</v>
      </c>
      <c r="E34" s="19" t="s">
        <v>13</v>
      </c>
      <c r="F34" s="19" t="s">
        <v>13</v>
      </c>
      <c r="G34" s="18">
        <v>6</v>
      </c>
      <c r="H34" s="18">
        <v>1</v>
      </c>
      <c r="I34" s="19">
        <f>G34/H34</f>
        <v>6</v>
      </c>
      <c r="J34" s="18">
        <v>1</v>
      </c>
      <c r="K34" s="19" t="s">
        <v>13</v>
      </c>
      <c r="L34" s="16">
        <v>5029.22</v>
      </c>
      <c r="M34" s="18">
        <v>738</v>
      </c>
      <c r="N34" s="13">
        <v>46192</v>
      </c>
      <c r="O34" s="39" t="s">
        <v>46</v>
      </c>
    </row>
    <row r="35" spans="1:15" ht="24.9" customHeight="1">
      <c r="A35" s="14">
        <v>33</v>
      </c>
      <c r="B35" s="19" t="s">
        <v>13</v>
      </c>
      <c r="C35" s="15" t="s">
        <v>356</v>
      </c>
      <c r="D35" s="16">
        <v>15.9</v>
      </c>
      <c r="E35" s="19" t="s">
        <v>13</v>
      </c>
      <c r="F35" s="19" t="s">
        <v>13</v>
      </c>
      <c r="G35" s="18">
        <v>2</v>
      </c>
      <c r="H35" s="18">
        <v>1</v>
      </c>
      <c r="I35" s="19">
        <f>G35/H35</f>
        <v>2</v>
      </c>
      <c r="J35" s="18">
        <v>1</v>
      </c>
      <c r="K35" s="19">
        <v>6</v>
      </c>
      <c r="L35" s="16">
        <v>15077</v>
      </c>
      <c r="M35" s="18">
        <v>2115</v>
      </c>
      <c r="N35" s="13">
        <v>46220</v>
      </c>
      <c r="O35" s="39" t="s">
        <v>94</v>
      </c>
    </row>
    <row r="36" spans="1:15" s="1" customFormat="1" ht="24.75" customHeight="1">
      <c r="A36" s="25"/>
      <c r="B36" s="50" t="s">
        <v>14</v>
      </c>
      <c r="C36" s="29" t="s">
        <v>372</v>
      </c>
      <c r="D36" s="92">
        <f>SUBTOTAL(109,Table1324567891011121314151617181920212223242526272829303132333435[Pajamos 
(GBO)])</f>
        <v>397807.77</v>
      </c>
      <c r="E36" s="92">
        <f>SUBTOTAL(109,Table1324567891011121314151617181920212223242526272829303132333435[Pajamos 
praeita sav.
(GBO LW)])</f>
        <v>248180.41999999998</v>
      </c>
      <c r="F36" s="43">
        <f>(D36-E36)/E36</f>
        <v>0.60289748079240113</v>
      </c>
      <c r="G36" s="93">
        <f>SUBTOTAL(109,Table1324567891011121314151617181920212223242526272829303132333435[Žiūrovų sk. 
(ADM)])</f>
        <v>50141</v>
      </c>
      <c r="H36" s="36"/>
      <c r="I36" s="25"/>
      <c r="J36" s="36"/>
      <c r="K36" s="48"/>
      <c r="L36" s="32"/>
      <c r="M36" s="36"/>
      <c r="N36" s="38"/>
      <c r="O36" s="41"/>
    </row>
    <row r="37" spans="1:15"/>
    <row r="38" spans="1:15"/>
    <row r="39" spans="1:15" ht="9" customHeight="1"/>
    <row r="40" spans="1:15"/>
    <row r="41" spans="1:15"/>
    <row r="42" spans="1:15"/>
    <row r="43" spans="1:15"/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4420-69C0-45B0-8CF8-E1C9CDA92F58}">
  <dimension ref="A1:XFC550"/>
  <sheetViews>
    <sheetView topLeftCell="A5" zoomScale="70" zoomScaleNormal="70" workbookViewId="0">
      <selection activeCell="O21" sqref="O21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382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4">
        <v>1</v>
      </c>
      <c r="C3" s="15" t="s">
        <v>370</v>
      </c>
      <c r="D3" s="16">
        <v>82158.89</v>
      </c>
      <c r="E3" s="16">
        <v>158564.51</v>
      </c>
      <c r="F3" s="10">
        <f>(D3-E3)/E3</f>
        <v>-0.48185826702330808</v>
      </c>
      <c r="G3" s="18">
        <v>9102</v>
      </c>
      <c r="H3" s="18">
        <v>177</v>
      </c>
      <c r="I3" s="19">
        <f>G3/H3</f>
        <v>51.423728813559322</v>
      </c>
      <c r="J3" s="18">
        <v>15</v>
      </c>
      <c r="K3" s="19">
        <v>3</v>
      </c>
      <c r="L3" s="16">
        <v>859113.77</v>
      </c>
      <c r="M3" s="18">
        <v>106290</v>
      </c>
      <c r="N3" s="20">
        <v>46233</v>
      </c>
      <c r="O3" s="39" t="s">
        <v>39</v>
      </c>
    </row>
    <row r="4" spans="1:15" s="2" customFormat="1" ht="24.9" customHeight="1">
      <c r="A4" s="14">
        <v>2</v>
      </c>
      <c r="B4" s="14">
        <v>2</v>
      </c>
      <c r="C4" s="15" t="s">
        <v>357</v>
      </c>
      <c r="D4" s="16">
        <v>57097.55</v>
      </c>
      <c r="E4" s="16">
        <v>107118.83</v>
      </c>
      <c r="F4" s="10">
        <f>(D4-E4)/E4</f>
        <v>-0.46696999957897223</v>
      </c>
      <c r="G4" s="18">
        <v>6239</v>
      </c>
      <c r="H4" s="18">
        <v>106</v>
      </c>
      <c r="I4" s="19">
        <f>G4/H4</f>
        <v>58.858490566037737</v>
      </c>
      <c r="J4" s="18">
        <v>18</v>
      </c>
      <c r="K4" s="19">
        <v>5</v>
      </c>
      <c r="L4" s="16">
        <v>1198773</v>
      </c>
      <c r="M4" s="18">
        <v>132837</v>
      </c>
      <c r="N4" s="20">
        <v>46220</v>
      </c>
      <c r="O4" s="40" t="s">
        <v>207</v>
      </c>
    </row>
    <row r="5" spans="1:15" s="2" customFormat="1" ht="24.9" customHeight="1">
      <c r="A5" s="14">
        <v>3</v>
      </c>
      <c r="B5" s="19" t="s">
        <v>49</v>
      </c>
      <c r="C5" s="15" t="s">
        <v>384</v>
      </c>
      <c r="D5" s="16">
        <v>51376.03</v>
      </c>
      <c r="E5" s="19" t="s">
        <v>13</v>
      </c>
      <c r="F5" s="19" t="s">
        <v>13</v>
      </c>
      <c r="G5" s="18">
        <v>8378</v>
      </c>
      <c r="H5" s="18">
        <v>172</v>
      </c>
      <c r="I5" s="19">
        <f>G5/H5</f>
        <v>48.709302325581397</v>
      </c>
      <c r="J5" s="18">
        <v>19</v>
      </c>
      <c r="K5" s="19">
        <v>1</v>
      </c>
      <c r="L5" s="16">
        <v>61482</v>
      </c>
      <c r="M5" s="18">
        <v>10251</v>
      </c>
      <c r="N5" s="20">
        <v>46249</v>
      </c>
      <c r="O5" s="40" t="s">
        <v>310</v>
      </c>
    </row>
    <row r="6" spans="1:15" s="2" customFormat="1" ht="24.9" customHeight="1">
      <c r="A6" s="14">
        <v>4</v>
      </c>
      <c r="B6" s="14">
        <v>3</v>
      </c>
      <c r="C6" s="15" t="s">
        <v>343</v>
      </c>
      <c r="D6" s="16">
        <v>15786.53</v>
      </c>
      <c r="E6" s="16">
        <v>24539.119999999999</v>
      </c>
      <c r="F6" s="10">
        <f>(D6-E6)/E6</f>
        <v>-0.35667904961547109</v>
      </c>
      <c r="G6" s="18">
        <v>2404</v>
      </c>
      <c r="H6" s="18">
        <v>95</v>
      </c>
      <c r="I6" s="19">
        <f>G6/H6</f>
        <v>25.305263157894736</v>
      </c>
      <c r="J6" s="18">
        <v>16</v>
      </c>
      <c r="K6" s="19">
        <v>7</v>
      </c>
      <c r="L6" s="16">
        <v>965505</v>
      </c>
      <c r="M6" s="18">
        <v>148172</v>
      </c>
      <c r="N6" s="20">
        <v>46204</v>
      </c>
      <c r="O6" s="40" t="s">
        <v>207</v>
      </c>
    </row>
    <row r="7" spans="1:15" s="2" customFormat="1" ht="24.9" customHeight="1">
      <c r="A7" s="14">
        <v>5</v>
      </c>
      <c r="B7" s="19" t="s">
        <v>49</v>
      </c>
      <c r="C7" s="15" t="s">
        <v>386</v>
      </c>
      <c r="D7" s="16">
        <v>14264.88</v>
      </c>
      <c r="E7" s="19" t="s">
        <v>13</v>
      </c>
      <c r="F7" s="19" t="s">
        <v>13</v>
      </c>
      <c r="G7" s="18">
        <v>1829</v>
      </c>
      <c r="H7" s="18">
        <v>98</v>
      </c>
      <c r="I7" s="19">
        <f>G7/H7</f>
        <v>18.663265306122447</v>
      </c>
      <c r="J7" s="18">
        <v>17</v>
      </c>
      <c r="K7" s="19">
        <v>1</v>
      </c>
      <c r="L7" s="16">
        <v>16681.28</v>
      </c>
      <c r="M7" s="18">
        <v>2142</v>
      </c>
      <c r="N7" s="20">
        <v>46248</v>
      </c>
      <c r="O7" s="40" t="s">
        <v>55</v>
      </c>
    </row>
    <row r="8" spans="1:15" s="2" customFormat="1" ht="24.9" customHeight="1">
      <c r="A8" s="14">
        <v>6</v>
      </c>
      <c r="B8" s="19" t="s">
        <v>49</v>
      </c>
      <c r="C8" s="15" t="s">
        <v>383</v>
      </c>
      <c r="D8" s="16">
        <v>12380.23</v>
      </c>
      <c r="E8" s="19" t="s">
        <v>13</v>
      </c>
      <c r="F8" s="19" t="s">
        <v>13</v>
      </c>
      <c r="G8" s="18">
        <v>1619</v>
      </c>
      <c r="H8" s="18">
        <v>83</v>
      </c>
      <c r="I8" s="19" t="s">
        <v>13</v>
      </c>
      <c r="J8" s="18">
        <v>17</v>
      </c>
      <c r="K8" s="19">
        <v>1</v>
      </c>
      <c r="L8" s="16">
        <v>19446</v>
      </c>
      <c r="M8" s="18">
        <v>2352</v>
      </c>
      <c r="N8" s="20">
        <v>46248</v>
      </c>
      <c r="O8" s="40" t="s">
        <v>207</v>
      </c>
    </row>
    <row r="9" spans="1:15" s="2" customFormat="1" ht="24.9" customHeight="1">
      <c r="A9" s="14">
        <v>7</v>
      </c>
      <c r="B9" s="14">
        <v>5</v>
      </c>
      <c r="C9" s="15" t="s">
        <v>351</v>
      </c>
      <c r="D9" s="16">
        <v>3414.95</v>
      </c>
      <c r="E9" s="16">
        <v>7535.27</v>
      </c>
      <c r="F9" s="10">
        <f>(D9-E9)/E9</f>
        <v>-0.54680456042052916</v>
      </c>
      <c r="G9" s="18">
        <v>551</v>
      </c>
      <c r="H9" s="18">
        <v>24</v>
      </c>
      <c r="I9" s="19">
        <f t="shared" ref="I9:I15" si="0">G9/H9</f>
        <v>22.958333333333332</v>
      </c>
      <c r="J9" s="18">
        <v>11</v>
      </c>
      <c r="K9" s="19">
        <v>6</v>
      </c>
      <c r="L9" s="16">
        <v>194113</v>
      </c>
      <c r="M9" s="18">
        <v>31415</v>
      </c>
      <c r="N9" s="20">
        <v>46213</v>
      </c>
      <c r="O9" s="40" t="s">
        <v>37</v>
      </c>
    </row>
    <row r="10" spans="1:15" s="2" customFormat="1" ht="24.9" customHeight="1">
      <c r="A10" s="14">
        <v>8</v>
      </c>
      <c r="B10" s="14">
        <v>4</v>
      </c>
      <c r="C10" s="15" t="s">
        <v>379</v>
      </c>
      <c r="D10" s="16">
        <v>3013.44</v>
      </c>
      <c r="E10" s="16">
        <v>8920.5400000000009</v>
      </c>
      <c r="F10" s="10">
        <f>(D10-E10)/E10</f>
        <v>-0.66219085391691535</v>
      </c>
      <c r="G10" s="18">
        <v>361</v>
      </c>
      <c r="H10" s="18">
        <v>27</v>
      </c>
      <c r="I10" s="19">
        <f t="shared" si="0"/>
        <v>13.37037037037037</v>
      </c>
      <c r="J10" s="18">
        <v>8</v>
      </c>
      <c r="K10" s="19">
        <v>2</v>
      </c>
      <c r="L10" s="16">
        <v>20190.63</v>
      </c>
      <c r="M10" s="18">
        <v>2641</v>
      </c>
      <c r="N10" s="20">
        <v>46241</v>
      </c>
      <c r="O10" s="40" t="s">
        <v>42</v>
      </c>
    </row>
    <row r="11" spans="1:15" s="2" customFormat="1" ht="24.9" customHeight="1">
      <c r="A11" s="14">
        <v>9</v>
      </c>
      <c r="B11" s="14">
        <v>7</v>
      </c>
      <c r="C11" s="15" t="s">
        <v>321</v>
      </c>
      <c r="D11" s="16">
        <v>3007.24</v>
      </c>
      <c r="E11" s="16">
        <v>4923.0600000000004</v>
      </c>
      <c r="F11" s="10">
        <f>(D11-E11)/E11</f>
        <v>-0.38915227521094614</v>
      </c>
      <c r="G11" s="18">
        <v>372</v>
      </c>
      <c r="H11" s="18">
        <v>15</v>
      </c>
      <c r="I11" s="19">
        <f t="shared" si="0"/>
        <v>24.8</v>
      </c>
      <c r="J11" s="18">
        <v>5</v>
      </c>
      <c r="K11" s="19">
        <v>10</v>
      </c>
      <c r="L11" s="16">
        <v>425385</v>
      </c>
      <c r="M11" s="18">
        <v>54264</v>
      </c>
      <c r="N11" s="20">
        <v>46185</v>
      </c>
      <c r="O11" s="40" t="s">
        <v>94</v>
      </c>
    </row>
    <row r="12" spans="1:15" s="2" customFormat="1" ht="24.9" customHeight="1">
      <c r="A12" s="14">
        <v>10</v>
      </c>
      <c r="B12" s="14">
        <v>6</v>
      </c>
      <c r="C12" s="15" t="s">
        <v>326</v>
      </c>
      <c r="D12" s="16">
        <v>2616.9</v>
      </c>
      <c r="E12" s="16">
        <v>7290.48</v>
      </c>
      <c r="F12" s="10">
        <f>(D12-E12)/E12</f>
        <v>-0.64105244099153968</v>
      </c>
      <c r="G12" s="18">
        <v>419</v>
      </c>
      <c r="H12" s="18">
        <v>22</v>
      </c>
      <c r="I12" s="19">
        <f t="shared" si="0"/>
        <v>19.045454545454547</v>
      </c>
      <c r="J12" s="18">
        <v>6</v>
      </c>
      <c r="K12" s="19">
        <v>9</v>
      </c>
      <c r="L12" s="16">
        <v>395209</v>
      </c>
      <c r="M12" s="18">
        <v>65836</v>
      </c>
      <c r="N12" s="20">
        <v>46192</v>
      </c>
      <c r="O12" s="40" t="s">
        <v>37</v>
      </c>
    </row>
    <row r="13" spans="1:15" s="2" customFormat="1" ht="24.9" customHeight="1">
      <c r="A13" s="14">
        <v>11</v>
      </c>
      <c r="B13" s="14">
        <v>10</v>
      </c>
      <c r="C13" s="15" t="s">
        <v>346</v>
      </c>
      <c r="D13" s="16">
        <v>1793.9</v>
      </c>
      <c r="E13" s="16">
        <v>3367.45</v>
      </c>
      <c r="F13" s="10">
        <f>(D13-E13)/E13</f>
        <v>-0.46728236499428344</v>
      </c>
      <c r="G13" s="18">
        <v>226</v>
      </c>
      <c r="H13" s="18">
        <v>12</v>
      </c>
      <c r="I13" s="19">
        <f t="shared" si="0"/>
        <v>18.833333333333332</v>
      </c>
      <c r="J13" s="18">
        <v>4</v>
      </c>
      <c r="K13" s="19">
        <v>7</v>
      </c>
      <c r="L13" s="16">
        <v>142401.62</v>
      </c>
      <c r="M13" s="18">
        <v>18592</v>
      </c>
      <c r="N13" s="20">
        <v>46206</v>
      </c>
      <c r="O13" s="40" t="s">
        <v>42</v>
      </c>
    </row>
    <row r="14" spans="1:15" ht="24.9" customHeight="1">
      <c r="A14" s="14">
        <v>12</v>
      </c>
      <c r="B14" s="19" t="s">
        <v>13</v>
      </c>
      <c r="C14" s="15" t="s">
        <v>388</v>
      </c>
      <c r="D14" s="16">
        <v>1588</v>
      </c>
      <c r="E14" s="19" t="s">
        <v>13</v>
      </c>
      <c r="F14" s="19" t="s">
        <v>13</v>
      </c>
      <c r="G14" s="18">
        <v>199</v>
      </c>
      <c r="H14" s="18">
        <v>1</v>
      </c>
      <c r="I14" s="19">
        <f t="shared" si="0"/>
        <v>199</v>
      </c>
      <c r="J14" s="18">
        <v>1</v>
      </c>
      <c r="K14" s="19" t="s">
        <v>13</v>
      </c>
      <c r="L14" s="16">
        <v>24157.200000000001</v>
      </c>
      <c r="M14" s="18">
        <v>2614</v>
      </c>
      <c r="N14" s="20">
        <v>45365</v>
      </c>
      <c r="O14" s="40" t="s">
        <v>47</v>
      </c>
    </row>
    <row r="15" spans="1:15" ht="24.9" customHeight="1">
      <c r="A15" s="14">
        <v>13</v>
      </c>
      <c r="B15" s="14">
        <v>9</v>
      </c>
      <c r="C15" s="15" t="s">
        <v>375</v>
      </c>
      <c r="D15" s="16">
        <v>787.78</v>
      </c>
      <c r="E15" s="16">
        <v>3652.07</v>
      </c>
      <c r="F15" s="10">
        <f>(D15-E15)/E15</f>
        <v>-0.7842921959327176</v>
      </c>
      <c r="G15" s="18">
        <v>97</v>
      </c>
      <c r="H15" s="18">
        <v>11</v>
      </c>
      <c r="I15" s="19">
        <f t="shared" si="0"/>
        <v>8.8181818181818183</v>
      </c>
      <c r="J15" s="18">
        <v>5</v>
      </c>
      <c r="K15" s="19">
        <v>2</v>
      </c>
      <c r="L15" s="16">
        <v>7961</v>
      </c>
      <c r="M15" s="18">
        <v>1061</v>
      </c>
      <c r="N15" s="20">
        <v>46241</v>
      </c>
      <c r="O15" s="40" t="s">
        <v>94</v>
      </c>
    </row>
    <row r="16" spans="1:15" ht="24.9" customHeight="1">
      <c r="A16" s="14">
        <v>14</v>
      </c>
      <c r="B16" s="14">
        <v>8</v>
      </c>
      <c r="C16" s="15" t="s">
        <v>366</v>
      </c>
      <c r="D16" s="16">
        <v>524</v>
      </c>
      <c r="E16" s="16">
        <v>3766</v>
      </c>
      <c r="F16" s="10">
        <f>(D16-E16)/E16</f>
        <v>-0.86086032926181622</v>
      </c>
      <c r="G16" s="18">
        <v>94</v>
      </c>
      <c r="H16" s="19" t="s">
        <v>13</v>
      </c>
      <c r="I16" s="19" t="s">
        <v>13</v>
      </c>
      <c r="J16" s="18">
        <v>5</v>
      </c>
      <c r="K16" s="19">
        <v>4</v>
      </c>
      <c r="L16" s="16">
        <v>31809</v>
      </c>
      <c r="M16" s="18">
        <v>6306</v>
      </c>
      <c r="N16" s="20">
        <v>46227</v>
      </c>
      <c r="O16" s="40" t="s">
        <v>44</v>
      </c>
    </row>
    <row r="17" spans="1:15" ht="24.9" customHeight="1">
      <c r="A17" s="14">
        <v>15</v>
      </c>
      <c r="B17" s="14">
        <v>16</v>
      </c>
      <c r="C17" s="15" t="s">
        <v>362</v>
      </c>
      <c r="D17" s="16">
        <v>454.22</v>
      </c>
      <c r="E17" s="16">
        <v>272.52</v>
      </c>
      <c r="F17" s="10">
        <f>(D17-E17)/E17</f>
        <v>0.66674005577572304</v>
      </c>
      <c r="G17" s="18">
        <v>62</v>
      </c>
      <c r="H17" s="18">
        <v>7</v>
      </c>
      <c r="I17" s="19">
        <f>G17/H17</f>
        <v>8.8571428571428577</v>
      </c>
      <c r="J17" s="18">
        <v>4</v>
      </c>
      <c r="K17" s="19">
        <v>4</v>
      </c>
      <c r="L17" s="16" t="s">
        <v>385</v>
      </c>
      <c r="M17" s="18">
        <v>618</v>
      </c>
      <c r="N17" s="20">
        <v>46227</v>
      </c>
      <c r="O17" s="40" t="s">
        <v>43</v>
      </c>
    </row>
    <row r="18" spans="1:15" s="1" customFormat="1" ht="24.9" customHeight="1">
      <c r="A18" s="14">
        <v>16</v>
      </c>
      <c r="B18" s="19" t="s">
        <v>13</v>
      </c>
      <c r="C18" s="15" t="s">
        <v>339</v>
      </c>
      <c r="D18" s="16">
        <v>300</v>
      </c>
      <c r="E18" s="19" t="s">
        <v>13</v>
      </c>
      <c r="F18" s="19" t="s">
        <v>13</v>
      </c>
      <c r="G18" s="18">
        <v>120</v>
      </c>
      <c r="H18" s="18">
        <v>11</v>
      </c>
      <c r="I18" s="19">
        <f>G18/H18</f>
        <v>10.909090909090908</v>
      </c>
      <c r="J18" s="18">
        <v>4</v>
      </c>
      <c r="K18" s="19">
        <v>31</v>
      </c>
      <c r="L18" s="16">
        <v>305892.71000000002</v>
      </c>
      <c r="M18" s="18">
        <v>55388</v>
      </c>
      <c r="N18" s="20">
        <v>46038</v>
      </c>
      <c r="O18" s="40" t="s">
        <v>42</v>
      </c>
    </row>
    <row r="19" spans="1:15" s="1" customFormat="1" ht="24.9" customHeight="1">
      <c r="A19" s="14">
        <v>17</v>
      </c>
      <c r="B19" s="19" t="s">
        <v>13</v>
      </c>
      <c r="C19" s="77" t="s">
        <v>214</v>
      </c>
      <c r="D19" s="16">
        <v>270.5</v>
      </c>
      <c r="E19" s="19" t="s">
        <v>13</v>
      </c>
      <c r="F19" s="19" t="s">
        <v>13</v>
      </c>
      <c r="G19" s="18">
        <v>112</v>
      </c>
      <c r="H19" s="18">
        <v>10</v>
      </c>
      <c r="I19" s="19">
        <f>G19/H19</f>
        <v>11.2</v>
      </c>
      <c r="J19" s="18">
        <v>4</v>
      </c>
      <c r="K19" s="19">
        <v>66</v>
      </c>
      <c r="L19" s="16">
        <v>34144.160000000003</v>
      </c>
      <c r="M19" s="18">
        <v>7937</v>
      </c>
      <c r="N19" s="20">
        <v>45794</v>
      </c>
      <c r="O19" s="40" t="s">
        <v>42</v>
      </c>
    </row>
    <row r="20" spans="1:15" ht="24.9" customHeight="1">
      <c r="A20" s="14">
        <v>18</v>
      </c>
      <c r="B20" s="14">
        <v>13</v>
      </c>
      <c r="C20" s="15" t="s">
        <v>235</v>
      </c>
      <c r="D20" s="16">
        <v>245.3</v>
      </c>
      <c r="E20" s="16">
        <v>440.63</v>
      </c>
      <c r="F20" s="10">
        <f>(D20-E20)/E20</f>
        <v>-0.44329709733790251</v>
      </c>
      <c r="G20" s="18">
        <v>28</v>
      </c>
      <c r="H20" s="18">
        <v>4</v>
      </c>
      <c r="I20" s="19">
        <f>G20/H20</f>
        <v>7</v>
      </c>
      <c r="J20" s="18">
        <v>2</v>
      </c>
      <c r="K20" s="19">
        <v>18</v>
      </c>
      <c r="L20" s="16">
        <v>203839.46</v>
      </c>
      <c r="M20" s="18">
        <v>28135</v>
      </c>
      <c r="N20" s="20">
        <v>46122</v>
      </c>
      <c r="O20" s="40" t="s">
        <v>47</v>
      </c>
    </row>
    <row r="21" spans="1:15" ht="24.9" customHeight="1">
      <c r="A21" s="14">
        <v>19</v>
      </c>
      <c r="B21" s="19" t="s">
        <v>13</v>
      </c>
      <c r="C21" s="8" t="s">
        <v>198</v>
      </c>
      <c r="D21" s="16">
        <v>219.5</v>
      </c>
      <c r="E21" s="19" t="s">
        <v>13</v>
      </c>
      <c r="F21" s="19" t="s">
        <v>13</v>
      </c>
      <c r="G21" s="18">
        <v>33</v>
      </c>
      <c r="H21" s="18">
        <v>1</v>
      </c>
      <c r="I21" s="19">
        <f>G21/H21</f>
        <v>33</v>
      </c>
      <c r="J21" s="18">
        <v>1</v>
      </c>
      <c r="K21" s="19" t="s">
        <v>13</v>
      </c>
      <c r="L21" s="16">
        <v>3452.25</v>
      </c>
      <c r="M21" s="18">
        <v>548</v>
      </c>
      <c r="N21" s="20">
        <v>46104</v>
      </c>
      <c r="O21" s="40" t="s">
        <v>47</v>
      </c>
    </row>
    <row r="22" spans="1:15" ht="24.9" customHeight="1">
      <c r="A22" s="14">
        <v>20</v>
      </c>
      <c r="B22" s="14">
        <v>17</v>
      </c>
      <c r="C22" s="15" t="s">
        <v>318</v>
      </c>
      <c r="D22" s="16">
        <v>151</v>
      </c>
      <c r="E22" s="16">
        <v>258</v>
      </c>
      <c r="F22" s="10">
        <f>(D22-E22)/E22</f>
        <v>-0.41472868217054265</v>
      </c>
      <c r="G22" s="18">
        <v>29</v>
      </c>
      <c r="H22" s="19" t="s">
        <v>13</v>
      </c>
      <c r="I22" s="19" t="s">
        <v>13</v>
      </c>
      <c r="J22" s="18">
        <v>2</v>
      </c>
      <c r="K22" s="19">
        <v>10</v>
      </c>
      <c r="L22" s="16">
        <v>16991</v>
      </c>
      <c r="M22" s="18">
        <v>2772</v>
      </c>
      <c r="N22" s="20">
        <v>46185</v>
      </c>
      <c r="O22" s="40" t="s">
        <v>44</v>
      </c>
    </row>
    <row r="23" spans="1:15" ht="24.9" customHeight="1">
      <c r="A23" s="14">
        <v>21</v>
      </c>
      <c r="B23" s="19" t="s">
        <v>13</v>
      </c>
      <c r="C23" s="15" t="s">
        <v>328</v>
      </c>
      <c r="D23" s="16">
        <v>105.5</v>
      </c>
      <c r="E23" s="19" t="s">
        <v>13</v>
      </c>
      <c r="F23" s="19" t="s">
        <v>13</v>
      </c>
      <c r="G23" s="18">
        <v>20</v>
      </c>
      <c r="H23" s="18">
        <v>1</v>
      </c>
      <c r="I23" s="19">
        <f t="shared" ref="I23:I31" si="1">G23/H23</f>
        <v>20</v>
      </c>
      <c r="J23" s="18">
        <v>1</v>
      </c>
      <c r="K23" s="19">
        <v>1</v>
      </c>
      <c r="L23" s="16">
        <v>5391.55</v>
      </c>
      <c r="M23" s="18">
        <v>791</v>
      </c>
      <c r="N23" s="20">
        <v>46192</v>
      </c>
      <c r="O23" s="40" t="s">
        <v>43</v>
      </c>
    </row>
    <row r="24" spans="1:15" ht="24.9" customHeight="1">
      <c r="A24" s="14">
        <v>22</v>
      </c>
      <c r="B24" s="14">
        <v>20</v>
      </c>
      <c r="C24" s="15" t="s">
        <v>251</v>
      </c>
      <c r="D24" s="16">
        <v>104.18</v>
      </c>
      <c r="E24" s="16">
        <v>141.41</v>
      </c>
      <c r="F24" s="10">
        <f>(D24-E24)/E24</f>
        <v>-0.26327699596916759</v>
      </c>
      <c r="G24" s="18">
        <v>20</v>
      </c>
      <c r="H24" s="18">
        <v>1</v>
      </c>
      <c r="I24" s="19">
        <f t="shared" si="1"/>
        <v>20</v>
      </c>
      <c r="J24" s="18">
        <v>1</v>
      </c>
      <c r="K24" s="19">
        <v>17</v>
      </c>
      <c r="L24" s="16">
        <v>702463</v>
      </c>
      <c r="M24" s="18">
        <v>92767</v>
      </c>
      <c r="N24" s="20">
        <v>46136</v>
      </c>
      <c r="O24" s="40" t="s">
        <v>207</v>
      </c>
    </row>
    <row r="25" spans="1:15" ht="24.9" customHeight="1">
      <c r="A25" s="14">
        <v>23</v>
      </c>
      <c r="B25" s="14">
        <v>14</v>
      </c>
      <c r="C25" s="15" t="s">
        <v>380</v>
      </c>
      <c r="D25" s="16">
        <v>71.5</v>
      </c>
      <c r="E25" s="16">
        <v>382.17</v>
      </c>
      <c r="F25" s="10">
        <f>(D25-E25)/E25</f>
        <v>-0.81291048486275741</v>
      </c>
      <c r="G25" s="18">
        <v>14</v>
      </c>
      <c r="H25" s="18">
        <v>3</v>
      </c>
      <c r="I25" s="19">
        <f t="shared" si="1"/>
        <v>4.666666666666667</v>
      </c>
      <c r="J25" s="18">
        <v>2</v>
      </c>
      <c r="K25" s="19">
        <v>2</v>
      </c>
      <c r="L25" s="16">
        <v>549.66999999999996</v>
      </c>
      <c r="M25" s="18">
        <v>93</v>
      </c>
      <c r="N25" s="20">
        <v>46241</v>
      </c>
      <c r="O25" s="40" t="s">
        <v>381</v>
      </c>
    </row>
    <row r="26" spans="1:15" ht="24.9" customHeight="1">
      <c r="A26" s="14">
        <v>24</v>
      </c>
      <c r="B26" s="14">
        <v>19</v>
      </c>
      <c r="C26" s="15" t="s">
        <v>302</v>
      </c>
      <c r="D26" s="16">
        <v>71.5</v>
      </c>
      <c r="E26" s="16">
        <v>147.5</v>
      </c>
      <c r="F26" s="10">
        <f>(D26-E26)/E26</f>
        <v>-0.51525423728813557</v>
      </c>
      <c r="G26" s="18">
        <v>14</v>
      </c>
      <c r="H26" s="18">
        <v>1</v>
      </c>
      <c r="I26" s="19">
        <f t="shared" si="1"/>
        <v>14</v>
      </c>
      <c r="J26" s="18">
        <v>1</v>
      </c>
      <c r="K26" s="19" t="s">
        <v>13</v>
      </c>
      <c r="L26" s="16">
        <v>1527.61</v>
      </c>
      <c r="M26" s="18">
        <v>253</v>
      </c>
      <c r="N26" s="20">
        <v>46087</v>
      </c>
      <c r="O26" s="40" t="s">
        <v>47</v>
      </c>
    </row>
    <row r="27" spans="1:15" ht="24.9" customHeight="1">
      <c r="A27" s="14">
        <v>25</v>
      </c>
      <c r="B27" s="14">
        <v>11</v>
      </c>
      <c r="C27" s="15" t="s">
        <v>294</v>
      </c>
      <c r="D27" s="16">
        <v>45</v>
      </c>
      <c r="E27" s="16">
        <v>749.89</v>
      </c>
      <c r="F27" s="10">
        <f>(D27-E27)/E27</f>
        <v>-0.93999119870914405</v>
      </c>
      <c r="G27" s="18">
        <v>8</v>
      </c>
      <c r="H27" s="18">
        <v>1</v>
      </c>
      <c r="I27" s="19">
        <f t="shared" si="1"/>
        <v>8</v>
      </c>
      <c r="J27" s="18">
        <v>1</v>
      </c>
      <c r="K27" s="19">
        <v>12</v>
      </c>
      <c r="L27" s="16">
        <v>312982.7</v>
      </c>
      <c r="M27" s="18">
        <v>41730</v>
      </c>
      <c r="N27" s="20">
        <v>46171</v>
      </c>
      <c r="O27" s="40" t="s">
        <v>46</v>
      </c>
    </row>
    <row r="28" spans="1:15" ht="24.9" customHeight="1">
      <c r="A28" s="14">
        <v>26</v>
      </c>
      <c r="B28" s="19" t="s">
        <v>13</v>
      </c>
      <c r="C28" s="8" t="s">
        <v>78</v>
      </c>
      <c r="D28" s="16">
        <v>42.6</v>
      </c>
      <c r="E28" s="19" t="s">
        <v>13</v>
      </c>
      <c r="F28" s="19" t="s">
        <v>13</v>
      </c>
      <c r="G28" s="18">
        <v>4</v>
      </c>
      <c r="H28" s="18">
        <v>1</v>
      </c>
      <c r="I28" s="19">
        <f t="shared" si="1"/>
        <v>4</v>
      </c>
      <c r="J28" s="18">
        <v>1</v>
      </c>
      <c r="K28" s="19" t="s">
        <v>13</v>
      </c>
      <c r="L28" s="16">
        <v>153380.84</v>
      </c>
      <c r="M28" s="18">
        <v>21243</v>
      </c>
      <c r="N28" s="20">
        <v>46038</v>
      </c>
      <c r="O28" s="40" t="s">
        <v>47</v>
      </c>
    </row>
    <row r="29" spans="1:15" ht="24.9" customHeight="1">
      <c r="A29" s="14">
        <v>27</v>
      </c>
      <c r="B29" s="19" t="s">
        <v>13</v>
      </c>
      <c r="C29" s="8" t="s">
        <v>387</v>
      </c>
      <c r="D29" s="16">
        <v>41.9</v>
      </c>
      <c r="E29" s="19" t="s">
        <v>13</v>
      </c>
      <c r="F29" s="19" t="s">
        <v>13</v>
      </c>
      <c r="G29" s="18">
        <v>5</v>
      </c>
      <c r="H29" s="18">
        <v>1</v>
      </c>
      <c r="I29" s="19">
        <f t="shared" si="1"/>
        <v>5</v>
      </c>
      <c r="J29" s="18">
        <v>1</v>
      </c>
      <c r="K29" s="19" t="s">
        <v>13</v>
      </c>
      <c r="L29" s="16">
        <v>36307.660000000003</v>
      </c>
      <c r="M29" s="18">
        <v>5634</v>
      </c>
      <c r="N29" s="20">
        <v>45926</v>
      </c>
      <c r="O29" s="40" t="s">
        <v>47</v>
      </c>
    </row>
    <row r="30" spans="1:15" ht="24.9" customHeight="1">
      <c r="A30" s="14">
        <v>28</v>
      </c>
      <c r="B30" s="19">
        <v>29</v>
      </c>
      <c r="C30" s="15" t="s">
        <v>257</v>
      </c>
      <c r="D30" s="16">
        <v>30</v>
      </c>
      <c r="E30" s="16">
        <v>15</v>
      </c>
      <c r="F30" s="10">
        <f>(D30-E30)/E30</f>
        <v>1</v>
      </c>
      <c r="G30" s="18">
        <v>6</v>
      </c>
      <c r="H30" s="18">
        <v>1</v>
      </c>
      <c r="I30" s="19">
        <f t="shared" si="1"/>
        <v>6</v>
      </c>
      <c r="J30" s="18">
        <v>1</v>
      </c>
      <c r="K30" s="19" t="s">
        <v>13</v>
      </c>
      <c r="L30" s="16">
        <v>21106.06</v>
      </c>
      <c r="M30" s="18">
        <v>4297</v>
      </c>
      <c r="N30" s="20">
        <v>46143</v>
      </c>
      <c r="O30" s="40" t="s">
        <v>46</v>
      </c>
    </row>
    <row r="31" spans="1:15" ht="24.9" customHeight="1">
      <c r="A31" s="14">
        <v>29</v>
      </c>
      <c r="B31" s="19" t="s">
        <v>13</v>
      </c>
      <c r="C31" s="8" t="s">
        <v>266</v>
      </c>
      <c r="D31" s="16">
        <v>29.8</v>
      </c>
      <c r="E31" s="19" t="s">
        <v>13</v>
      </c>
      <c r="F31" s="19" t="s">
        <v>13</v>
      </c>
      <c r="G31" s="18">
        <v>4</v>
      </c>
      <c r="H31" s="18">
        <v>1</v>
      </c>
      <c r="I31" s="19">
        <f t="shared" si="1"/>
        <v>4</v>
      </c>
      <c r="J31" s="18">
        <v>1</v>
      </c>
      <c r="K31" s="19">
        <v>15</v>
      </c>
      <c r="L31" s="16">
        <v>2293.85</v>
      </c>
      <c r="M31" s="18">
        <v>837</v>
      </c>
      <c r="N31" s="20">
        <v>46150</v>
      </c>
      <c r="O31" s="40" t="s">
        <v>86</v>
      </c>
    </row>
    <row r="32" spans="1:15" ht="24.75" customHeight="1">
      <c r="A32" s="59"/>
      <c r="B32" s="60" t="s">
        <v>14</v>
      </c>
      <c r="C32" s="61" t="s">
        <v>110</v>
      </c>
      <c r="D32" s="27">
        <f>SUBTOTAL(109,Table13245678910111213141516171819202122232425262728293031323334[Pajamos 
(GBO)])</f>
        <v>251992.81999999998</v>
      </c>
      <c r="E32" s="27">
        <f>SUBTOTAL(109,Table13245678910111213141516171819202122232425262728293031323334[Pajamos 
praeita sav.
(GBO LW)])</f>
        <v>332084.45</v>
      </c>
      <c r="F32" s="62">
        <f>(D32-E32)/E32</f>
        <v>-0.24117850143239175</v>
      </c>
      <c r="G32" s="34">
        <f>SUBTOTAL(109,Table13245678910111213141516171819202122232425262728293031323334[Žiūrovų sk. 
(ADM)])</f>
        <v>32369</v>
      </c>
      <c r="H32" s="63"/>
      <c r="I32" s="59"/>
      <c r="J32" s="63"/>
      <c r="K32" s="64"/>
      <c r="L32" s="65"/>
      <c r="M32" s="63"/>
      <c r="N32" s="66"/>
      <c r="O32" s="67"/>
    </row>
    <row r="33"/>
    <row r="34"/>
    <row r="35" ht="9" customHeight="1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36D5E-379B-4D00-818B-44C85CC7F3C9}">
  <dimension ref="A1:XFC535"/>
  <sheetViews>
    <sheetView topLeftCell="A5" zoomScale="70" zoomScaleNormal="70" workbookViewId="0">
      <selection activeCell="O30" sqref="O30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377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4">
        <v>1</v>
      </c>
      <c r="C3" s="15" t="s">
        <v>370</v>
      </c>
      <c r="D3" s="16">
        <v>158564.51</v>
      </c>
      <c r="E3" s="9">
        <v>221446</v>
      </c>
      <c r="F3" s="10">
        <f>(D3-E3)/E3</f>
        <v>-0.28395857229301946</v>
      </c>
      <c r="G3" s="11">
        <v>17749</v>
      </c>
      <c r="H3" s="11">
        <v>214</v>
      </c>
      <c r="I3" s="12">
        <f t="shared" ref="I3:I9" si="0">G3/H3</f>
        <v>82.939252336448604</v>
      </c>
      <c r="J3" s="11">
        <v>17</v>
      </c>
      <c r="K3" s="12">
        <v>2</v>
      </c>
      <c r="L3" s="9">
        <v>650019.6</v>
      </c>
      <c r="M3" s="11">
        <v>80172</v>
      </c>
      <c r="N3" s="13">
        <v>46233</v>
      </c>
      <c r="O3" s="39" t="s">
        <v>39</v>
      </c>
    </row>
    <row r="4" spans="1:15" s="2" customFormat="1" ht="24.9" customHeight="1">
      <c r="A4" s="14">
        <v>2</v>
      </c>
      <c r="B4" s="14">
        <v>2</v>
      </c>
      <c r="C4" s="15" t="s">
        <v>357</v>
      </c>
      <c r="D4" s="16">
        <v>107118.83</v>
      </c>
      <c r="E4" s="16">
        <v>137522.19</v>
      </c>
      <c r="F4" s="10">
        <f>(D4-E4)/E4</f>
        <v>-0.22107966721588712</v>
      </c>
      <c r="G4" s="18">
        <v>11208</v>
      </c>
      <c r="H4" s="18">
        <v>132</v>
      </c>
      <c r="I4" s="12">
        <f t="shared" si="0"/>
        <v>84.909090909090907</v>
      </c>
      <c r="J4" s="18">
        <v>18</v>
      </c>
      <c r="K4" s="19">
        <v>4</v>
      </c>
      <c r="L4" s="9">
        <v>1066587</v>
      </c>
      <c r="M4" s="11">
        <v>117006</v>
      </c>
      <c r="N4" s="20">
        <v>46220</v>
      </c>
      <c r="O4" s="39" t="s">
        <v>207</v>
      </c>
    </row>
    <row r="5" spans="1:15" s="2" customFormat="1" ht="24.9" customHeight="1">
      <c r="A5" s="14">
        <v>3</v>
      </c>
      <c r="B5" s="14">
        <v>3</v>
      </c>
      <c r="C5" s="15" t="s">
        <v>343</v>
      </c>
      <c r="D5" s="16">
        <v>24539.119999999999</v>
      </c>
      <c r="E5" s="16">
        <v>28267.34</v>
      </c>
      <c r="F5" s="10">
        <f>(D5-E5)/E5</f>
        <v>-0.13189143371820627</v>
      </c>
      <c r="G5" s="18">
        <v>3920</v>
      </c>
      <c r="H5" s="18">
        <v>136</v>
      </c>
      <c r="I5" s="12">
        <f t="shared" si="0"/>
        <v>28.823529411764707</v>
      </c>
      <c r="J5" s="18">
        <v>19</v>
      </c>
      <c r="K5" s="19">
        <v>6</v>
      </c>
      <c r="L5" s="16">
        <v>925991</v>
      </c>
      <c r="M5" s="18">
        <v>141711</v>
      </c>
      <c r="N5" s="13">
        <v>46204</v>
      </c>
      <c r="O5" s="40" t="s">
        <v>207</v>
      </c>
    </row>
    <row r="6" spans="1:15" s="2" customFormat="1" ht="24.9" customHeight="1">
      <c r="A6" s="14">
        <v>4</v>
      </c>
      <c r="B6" s="19" t="s">
        <v>49</v>
      </c>
      <c r="C6" s="15" t="s">
        <v>379</v>
      </c>
      <c r="D6" s="16">
        <v>8920.5400000000009</v>
      </c>
      <c r="E6" s="19" t="s">
        <v>13</v>
      </c>
      <c r="F6" s="19" t="s">
        <v>13</v>
      </c>
      <c r="G6" s="18">
        <v>1114</v>
      </c>
      <c r="H6" s="18">
        <v>75</v>
      </c>
      <c r="I6" s="19">
        <f t="shared" si="0"/>
        <v>14.853333333333333</v>
      </c>
      <c r="J6" s="18">
        <v>16</v>
      </c>
      <c r="K6" s="19">
        <v>1</v>
      </c>
      <c r="L6" s="16">
        <v>9850.44</v>
      </c>
      <c r="M6" s="18">
        <v>1239</v>
      </c>
      <c r="N6" s="20">
        <v>46241</v>
      </c>
      <c r="O6" s="40" t="s">
        <v>42</v>
      </c>
    </row>
    <row r="7" spans="1:15" s="2" customFormat="1" ht="24.9" customHeight="1">
      <c r="A7" s="14">
        <v>5</v>
      </c>
      <c r="B7" s="14">
        <v>5</v>
      </c>
      <c r="C7" s="15" t="s">
        <v>351</v>
      </c>
      <c r="D7" s="16">
        <v>7535.27</v>
      </c>
      <c r="E7" s="16">
        <v>7522.51</v>
      </c>
      <c r="F7" s="10">
        <f>(D7-E7)/E7</f>
        <v>1.696242344642974E-3</v>
      </c>
      <c r="G7" s="18">
        <v>1163</v>
      </c>
      <c r="H7" s="18">
        <v>50</v>
      </c>
      <c r="I7" s="12">
        <f t="shared" si="0"/>
        <v>23.26</v>
      </c>
      <c r="J7" s="18">
        <v>13</v>
      </c>
      <c r="K7" s="19">
        <v>5</v>
      </c>
      <c r="L7" s="16">
        <v>183649</v>
      </c>
      <c r="M7" s="18">
        <v>29622</v>
      </c>
      <c r="N7" s="20">
        <v>46213</v>
      </c>
      <c r="O7" s="40" t="s">
        <v>37</v>
      </c>
    </row>
    <row r="8" spans="1:15" s="2" customFormat="1" ht="24.9" customHeight="1">
      <c r="A8" s="14">
        <v>6</v>
      </c>
      <c r="B8" s="14">
        <v>6</v>
      </c>
      <c r="C8" s="15" t="s">
        <v>326</v>
      </c>
      <c r="D8" s="16">
        <v>7290.48</v>
      </c>
      <c r="E8" s="16">
        <v>7038.14</v>
      </c>
      <c r="F8" s="10">
        <f>(D8-E8)/E8</f>
        <v>3.5853222584375878E-2</v>
      </c>
      <c r="G8" s="18">
        <v>1177</v>
      </c>
      <c r="H8" s="11">
        <v>51</v>
      </c>
      <c r="I8" s="12">
        <f t="shared" si="0"/>
        <v>23.078431372549019</v>
      </c>
      <c r="J8" s="11">
        <v>13</v>
      </c>
      <c r="K8" s="12">
        <v>8</v>
      </c>
      <c r="L8" s="9">
        <v>385281</v>
      </c>
      <c r="M8" s="11">
        <v>64156</v>
      </c>
      <c r="N8" s="13">
        <v>46192</v>
      </c>
      <c r="O8" s="39" t="s">
        <v>37</v>
      </c>
    </row>
    <row r="9" spans="1:15" s="2" customFormat="1" ht="24.9" customHeight="1">
      <c r="A9" s="14">
        <v>7</v>
      </c>
      <c r="B9" s="14">
        <v>4</v>
      </c>
      <c r="C9" s="15" t="s">
        <v>321</v>
      </c>
      <c r="D9" s="16">
        <v>4923.0600000000004</v>
      </c>
      <c r="E9" s="16">
        <v>7785.66</v>
      </c>
      <c r="F9" s="10">
        <f>(D9-E9)/E9</f>
        <v>-0.36767595810759773</v>
      </c>
      <c r="G9" s="18">
        <v>587</v>
      </c>
      <c r="H9" s="18">
        <v>22</v>
      </c>
      <c r="I9" s="12">
        <f t="shared" si="0"/>
        <v>26.681818181818183</v>
      </c>
      <c r="J9" s="18">
        <v>7</v>
      </c>
      <c r="K9" s="19">
        <v>9</v>
      </c>
      <c r="L9" s="9">
        <v>417397</v>
      </c>
      <c r="M9" s="11">
        <v>53138</v>
      </c>
      <c r="N9" s="20">
        <v>46185</v>
      </c>
      <c r="O9" s="39" t="s">
        <v>94</v>
      </c>
    </row>
    <row r="10" spans="1:15" s="2" customFormat="1" ht="24.9" customHeight="1">
      <c r="A10" s="14">
        <v>8</v>
      </c>
      <c r="B10" s="14">
        <v>8</v>
      </c>
      <c r="C10" s="15" t="s">
        <v>366</v>
      </c>
      <c r="D10" s="16">
        <v>3766</v>
      </c>
      <c r="E10" s="16">
        <v>4297</v>
      </c>
      <c r="F10" s="10">
        <f>(D10-E10)/E10</f>
        <v>-0.12357458692110775</v>
      </c>
      <c r="G10" s="18">
        <v>681</v>
      </c>
      <c r="H10" s="19" t="s">
        <v>13</v>
      </c>
      <c r="I10" s="19" t="s">
        <v>13</v>
      </c>
      <c r="J10" s="18">
        <v>16</v>
      </c>
      <c r="K10" s="19">
        <v>3</v>
      </c>
      <c r="L10" s="9">
        <v>27796</v>
      </c>
      <c r="M10" s="11">
        <v>5570</v>
      </c>
      <c r="N10" s="20">
        <v>46227</v>
      </c>
      <c r="O10" s="39" t="s">
        <v>44</v>
      </c>
    </row>
    <row r="11" spans="1:15" s="2" customFormat="1" ht="24.9" customHeight="1">
      <c r="A11" s="14">
        <v>9</v>
      </c>
      <c r="B11" s="19" t="s">
        <v>49</v>
      </c>
      <c r="C11" s="15" t="s">
        <v>375</v>
      </c>
      <c r="D11" s="16">
        <v>3652.07</v>
      </c>
      <c r="E11" s="19" t="s">
        <v>13</v>
      </c>
      <c r="F11" s="19" t="s">
        <v>13</v>
      </c>
      <c r="G11" s="18">
        <v>456</v>
      </c>
      <c r="H11" s="18">
        <v>63</v>
      </c>
      <c r="I11" s="19">
        <f>G11/H11</f>
        <v>7.2380952380952381</v>
      </c>
      <c r="J11" s="18">
        <v>12</v>
      </c>
      <c r="K11" s="19">
        <v>1</v>
      </c>
      <c r="L11" s="16">
        <v>3652</v>
      </c>
      <c r="M11" s="18">
        <v>456</v>
      </c>
      <c r="N11" s="20">
        <v>46241</v>
      </c>
      <c r="O11" s="40" t="s">
        <v>94</v>
      </c>
    </row>
    <row r="12" spans="1:15" s="2" customFormat="1" ht="24.9" customHeight="1">
      <c r="A12" s="14">
        <v>10</v>
      </c>
      <c r="B12" s="14">
        <v>7</v>
      </c>
      <c r="C12" s="15" t="s">
        <v>346</v>
      </c>
      <c r="D12" s="16">
        <v>3367.45</v>
      </c>
      <c r="E12" s="16">
        <v>5129.0200000000004</v>
      </c>
      <c r="F12" s="10">
        <f>(D12-E12)/E12</f>
        <v>-0.34345157554464606</v>
      </c>
      <c r="G12" s="18">
        <v>444</v>
      </c>
      <c r="H12" s="18">
        <v>23</v>
      </c>
      <c r="I12" s="12">
        <f>G12/H12</f>
        <v>19.304347826086957</v>
      </c>
      <c r="J12" s="18">
        <v>7</v>
      </c>
      <c r="K12" s="19">
        <v>6</v>
      </c>
      <c r="L12" s="16">
        <v>137053.53</v>
      </c>
      <c r="M12" s="18">
        <v>17780</v>
      </c>
      <c r="N12" s="13">
        <v>46206</v>
      </c>
      <c r="O12" s="39" t="s">
        <v>42</v>
      </c>
    </row>
    <row r="13" spans="1:15" s="2" customFormat="1" ht="24.9" customHeight="1">
      <c r="A13" s="14">
        <v>11</v>
      </c>
      <c r="B13" s="14">
        <v>12</v>
      </c>
      <c r="C13" s="15" t="s">
        <v>294</v>
      </c>
      <c r="D13" s="16">
        <v>749.89</v>
      </c>
      <c r="E13" s="16">
        <v>1066.57</v>
      </c>
      <c r="F13" s="10">
        <f>(D13-E13)/E13</f>
        <v>-0.29691440786821305</v>
      </c>
      <c r="G13" s="18">
        <v>88</v>
      </c>
      <c r="H13" s="18">
        <v>5</v>
      </c>
      <c r="I13" s="12">
        <f>G13/H13</f>
        <v>17.600000000000001</v>
      </c>
      <c r="J13" s="18">
        <v>1</v>
      </c>
      <c r="K13" s="19">
        <v>11</v>
      </c>
      <c r="L13" s="16">
        <v>312286.7</v>
      </c>
      <c r="M13" s="18">
        <v>41596</v>
      </c>
      <c r="N13" s="20">
        <v>46171</v>
      </c>
      <c r="O13" s="40" t="s">
        <v>46</v>
      </c>
    </row>
    <row r="14" spans="1:15" s="2" customFormat="1" ht="24.9" customHeight="1">
      <c r="A14" s="14">
        <v>12</v>
      </c>
      <c r="B14" s="19" t="s">
        <v>13</v>
      </c>
      <c r="C14" s="77" t="s">
        <v>378</v>
      </c>
      <c r="D14" s="16">
        <v>660</v>
      </c>
      <c r="E14" s="19" t="s">
        <v>13</v>
      </c>
      <c r="F14" s="19" t="s">
        <v>13</v>
      </c>
      <c r="G14" s="18">
        <v>266</v>
      </c>
      <c r="H14" s="19" t="s">
        <v>13</v>
      </c>
      <c r="I14" s="19" t="s">
        <v>13</v>
      </c>
      <c r="J14" s="18">
        <v>4</v>
      </c>
      <c r="K14" s="19" t="s">
        <v>13</v>
      </c>
      <c r="L14" s="16">
        <v>19045</v>
      </c>
      <c r="M14" s="18">
        <v>4601</v>
      </c>
      <c r="N14" s="20">
        <v>45884</v>
      </c>
      <c r="O14" s="40" t="s">
        <v>44</v>
      </c>
    </row>
    <row r="15" spans="1:15" ht="24.9" customHeight="1">
      <c r="A15" s="14">
        <v>13</v>
      </c>
      <c r="B15" s="14">
        <v>18</v>
      </c>
      <c r="C15" s="15" t="s">
        <v>235</v>
      </c>
      <c r="D15" s="16">
        <v>440.63</v>
      </c>
      <c r="E15" s="16">
        <v>275.13</v>
      </c>
      <c r="F15" s="10">
        <f>(D15-E15)/E15</f>
        <v>0.60153382037582237</v>
      </c>
      <c r="G15" s="11">
        <v>49</v>
      </c>
      <c r="H15" s="11">
        <v>4</v>
      </c>
      <c r="I15" s="12">
        <f>G15/H15</f>
        <v>12.25</v>
      </c>
      <c r="J15" s="11">
        <v>2</v>
      </c>
      <c r="K15" s="12">
        <v>17</v>
      </c>
      <c r="L15" s="9">
        <v>203253.66</v>
      </c>
      <c r="M15" s="11">
        <v>28052</v>
      </c>
      <c r="N15" s="13">
        <v>46122</v>
      </c>
      <c r="O15" s="39" t="s">
        <v>47</v>
      </c>
    </row>
    <row r="16" spans="1:15" ht="24.9" customHeight="1">
      <c r="A16" s="14">
        <v>14</v>
      </c>
      <c r="B16" s="19" t="s">
        <v>49</v>
      </c>
      <c r="C16" s="15" t="s">
        <v>380</v>
      </c>
      <c r="D16" s="16">
        <v>382.17</v>
      </c>
      <c r="E16" s="19" t="s">
        <v>13</v>
      </c>
      <c r="F16" s="19" t="s">
        <v>13</v>
      </c>
      <c r="G16" s="18">
        <v>59</v>
      </c>
      <c r="H16" s="18">
        <v>8</v>
      </c>
      <c r="I16" s="19">
        <f>G16/H16</f>
        <v>7.375</v>
      </c>
      <c r="J16" s="18">
        <v>5</v>
      </c>
      <c r="K16" s="19">
        <v>1</v>
      </c>
      <c r="L16" s="9">
        <v>382.17</v>
      </c>
      <c r="M16" s="11">
        <v>59</v>
      </c>
      <c r="N16" s="20">
        <v>46241</v>
      </c>
      <c r="O16" s="40" t="s">
        <v>381</v>
      </c>
    </row>
    <row r="17" spans="1:15" ht="24.9" customHeight="1">
      <c r="A17" s="14">
        <v>15</v>
      </c>
      <c r="B17" s="19" t="s">
        <v>13</v>
      </c>
      <c r="C17" s="15" t="s">
        <v>105</v>
      </c>
      <c r="D17" s="16">
        <v>320</v>
      </c>
      <c r="E17" s="19" t="s">
        <v>13</v>
      </c>
      <c r="F17" s="19" t="s">
        <v>13</v>
      </c>
      <c r="G17" s="18">
        <v>137</v>
      </c>
      <c r="H17" s="19" t="s">
        <v>13</v>
      </c>
      <c r="I17" s="19" t="s">
        <v>13</v>
      </c>
      <c r="J17" s="18">
        <v>4</v>
      </c>
      <c r="K17" s="19" t="s">
        <v>13</v>
      </c>
      <c r="L17" s="16">
        <v>24118</v>
      </c>
      <c r="M17" s="18">
        <v>4645</v>
      </c>
      <c r="N17" s="20">
        <v>46052</v>
      </c>
      <c r="O17" s="40" t="s">
        <v>44</v>
      </c>
    </row>
    <row r="18" spans="1:15" s="90" customFormat="1" ht="24.9" customHeight="1">
      <c r="A18" s="14">
        <v>16</v>
      </c>
      <c r="B18" s="14">
        <v>10</v>
      </c>
      <c r="C18" s="15" t="s">
        <v>362</v>
      </c>
      <c r="D18" s="16">
        <v>272.52</v>
      </c>
      <c r="E18" s="16">
        <v>2065</v>
      </c>
      <c r="F18" s="10">
        <f>(D18-E18)/E18</f>
        <v>-0.8680290556900726</v>
      </c>
      <c r="G18" s="18">
        <v>34</v>
      </c>
      <c r="H18" s="18">
        <v>5</v>
      </c>
      <c r="I18" s="12">
        <f>G18/H18</f>
        <v>6.8</v>
      </c>
      <c r="J18" s="18">
        <v>3</v>
      </c>
      <c r="K18" s="19">
        <v>3</v>
      </c>
      <c r="L18" s="9" t="s">
        <v>376</v>
      </c>
      <c r="M18" s="11">
        <v>487</v>
      </c>
      <c r="N18" s="20">
        <v>46227</v>
      </c>
      <c r="O18" s="39" t="s">
        <v>43</v>
      </c>
    </row>
    <row r="19" spans="1:15" ht="24.9" customHeight="1">
      <c r="A19" s="14">
        <v>17</v>
      </c>
      <c r="B19" s="14">
        <v>19</v>
      </c>
      <c r="C19" s="15" t="s">
        <v>318</v>
      </c>
      <c r="D19" s="16">
        <v>258</v>
      </c>
      <c r="E19" s="16">
        <v>224</v>
      </c>
      <c r="F19" s="10">
        <f>(D19-E19)/E19</f>
        <v>0.15178571428571427</v>
      </c>
      <c r="G19" s="18">
        <v>36</v>
      </c>
      <c r="H19" s="19" t="s">
        <v>13</v>
      </c>
      <c r="I19" s="19" t="s">
        <v>13</v>
      </c>
      <c r="J19" s="18">
        <v>3</v>
      </c>
      <c r="K19" s="19">
        <v>9</v>
      </c>
      <c r="L19" s="9">
        <v>16746</v>
      </c>
      <c r="M19" s="11">
        <v>2728</v>
      </c>
      <c r="N19" s="20">
        <v>46185</v>
      </c>
      <c r="O19" s="39" t="s">
        <v>44</v>
      </c>
    </row>
    <row r="20" spans="1:15" s="89" customFormat="1" ht="24.9" customHeight="1">
      <c r="A20" s="14">
        <v>18</v>
      </c>
      <c r="B20" s="14">
        <v>9</v>
      </c>
      <c r="C20" s="15" t="s">
        <v>365</v>
      </c>
      <c r="D20" s="16">
        <v>190</v>
      </c>
      <c r="E20" s="16">
        <v>2059</v>
      </c>
      <c r="F20" s="10">
        <f>(D20-E20)/E20</f>
        <v>-0.90772219524040798</v>
      </c>
      <c r="G20" s="18">
        <v>24</v>
      </c>
      <c r="H20" s="19" t="s">
        <v>13</v>
      </c>
      <c r="I20" s="19" t="s">
        <v>13</v>
      </c>
      <c r="J20" s="18">
        <v>1</v>
      </c>
      <c r="K20" s="19">
        <v>3</v>
      </c>
      <c r="L20" s="9">
        <v>16470</v>
      </c>
      <c r="M20" s="11">
        <v>2270</v>
      </c>
      <c r="N20" s="20">
        <v>46227</v>
      </c>
      <c r="O20" s="39" t="s">
        <v>44</v>
      </c>
    </row>
    <row r="21" spans="1:15" s="1" customFormat="1" ht="24.9" customHeight="1">
      <c r="A21" s="14">
        <v>19</v>
      </c>
      <c r="B21" s="19" t="s">
        <v>13</v>
      </c>
      <c r="C21" s="15" t="s">
        <v>302</v>
      </c>
      <c r="D21" s="16">
        <v>147.5</v>
      </c>
      <c r="E21" s="19" t="s">
        <v>13</v>
      </c>
      <c r="F21" s="19" t="s">
        <v>13</v>
      </c>
      <c r="G21" s="18">
        <v>26</v>
      </c>
      <c r="H21" s="18">
        <v>1</v>
      </c>
      <c r="I21" s="19">
        <f t="shared" ref="I21:I28" si="1">G21/H21</f>
        <v>26</v>
      </c>
      <c r="J21" s="18">
        <v>1</v>
      </c>
      <c r="K21" s="19" t="s">
        <v>13</v>
      </c>
      <c r="L21" s="16">
        <v>1456.11</v>
      </c>
      <c r="M21" s="18">
        <v>239</v>
      </c>
      <c r="N21" s="20">
        <v>46087</v>
      </c>
      <c r="O21" s="40" t="s">
        <v>47</v>
      </c>
    </row>
    <row r="22" spans="1:15" s="1" customFormat="1" ht="24.9" customHeight="1">
      <c r="A22" s="14">
        <v>20</v>
      </c>
      <c r="B22" s="14">
        <v>11</v>
      </c>
      <c r="C22" s="15" t="s">
        <v>251</v>
      </c>
      <c r="D22" s="16">
        <v>141.41</v>
      </c>
      <c r="E22" s="16">
        <v>1623.5</v>
      </c>
      <c r="F22" s="10">
        <f>(D22-E22)/E22</f>
        <v>-0.91289805974745919</v>
      </c>
      <c r="G22" s="11">
        <v>27</v>
      </c>
      <c r="H22" s="11">
        <v>1</v>
      </c>
      <c r="I22" s="12">
        <f t="shared" si="1"/>
        <v>27</v>
      </c>
      <c r="J22" s="11">
        <v>1</v>
      </c>
      <c r="K22" s="12">
        <v>16</v>
      </c>
      <c r="L22" s="9">
        <v>702358</v>
      </c>
      <c r="M22" s="11">
        <v>92747</v>
      </c>
      <c r="N22" s="13">
        <v>46136</v>
      </c>
      <c r="O22" s="39" t="s">
        <v>207</v>
      </c>
    </row>
    <row r="23" spans="1:15" s="1" customFormat="1" ht="24.9" customHeight="1">
      <c r="A23" s="14">
        <v>21</v>
      </c>
      <c r="B23" s="19">
        <v>24</v>
      </c>
      <c r="C23" s="8" t="s">
        <v>224</v>
      </c>
      <c r="D23" s="16">
        <v>85</v>
      </c>
      <c r="E23" s="9">
        <v>89</v>
      </c>
      <c r="F23" s="19" t="s">
        <v>13</v>
      </c>
      <c r="G23" s="11">
        <v>24</v>
      </c>
      <c r="H23" s="11">
        <v>4</v>
      </c>
      <c r="I23" s="12">
        <f t="shared" si="1"/>
        <v>6</v>
      </c>
      <c r="J23" s="11">
        <v>1</v>
      </c>
      <c r="K23" s="12" t="s">
        <v>13</v>
      </c>
      <c r="L23" s="9">
        <v>22189.35</v>
      </c>
      <c r="M23" s="11">
        <v>5450</v>
      </c>
      <c r="N23" s="13">
        <v>45919</v>
      </c>
      <c r="O23" s="39" t="s">
        <v>86</v>
      </c>
    </row>
    <row r="24" spans="1:15" ht="24.9" customHeight="1">
      <c r="A24" s="14">
        <v>22</v>
      </c>
      <c r="B24" s="14">
        <v>23</v>
      </c>
      <c r="C24" s="77" t="s">
        <v>184</v>
      </c>
      <c r="D24" s="16">
        <v>77</v>
      </c>
      <c r="E24" s="9">
        <v>109.5</v>
      </c>
      <c r="F24" s="10">
        <f>(D24-E24)/E24</f>
        <v>-0.29680365296803651</v>
      </c>
      <c r="G24" s="11">
        <v>13</v>
      </c>
      <c r="H24" s="11">
        <v>1</v>
      </c>
      <c r="I24" s="12">
        <f t="shared" si="1"/>
        <v>13</v>
      </c>
      <c r="J24" s="11">
        <v>1</v>
      </c>
      <c r="K24" s="12">
        <v>21</v>
      </c>
      <c r="L24" s="9">
        <v>700551.32</v>
      </c>
      <c r="M24" s="11">
        <v>79559</v>
      </c>
      <c r="N24" s="13">
        <v>46101</v>
      </c>
      <c r="O24" s="40" t="s">
        <v>42</v>
      </c>
    </row>
    <row r="25" spans="1:15" ht="24.9" customHeight="1">
      <c r="A25" s="14">
        <v>23</v>
      </c>
      <c r="B25" s="14">
        <v>14</v>
      </c>
      <c r="C25" s="15" t="s">
        <v>356</v>
      </c>
      <c r="D25" s="16">
        <v>76.3</v>
      </c>
      <c r="E25" s="16">
        <v>646.20000000000005</v>
      </c>
      <c r="F25" s="10">
        <f>(D25-E25)/E25</f>
        <v>-0.88192510058805329</v>
      </c>
      <c r="G25" s="18">
        <v>10</v>
      </c>
      <c r="H25" s="18">
        <v>3</v>
      </c>
      <c r="I25" s="12">
        <f t="shared" si="1"/>
        <v>3.3333333333333335</v>
      </c>
      <c r="J25" s="18">
        <v>2</v>
      </c>
      <c r="K25" s="19">
        <v>4</v>
      </c>
      <c r="L25" s="9">
        <v>14990</v>
      </c>
      <c r="M25" s="11">
        <v>2104</v>
      </c>
      <c r="N25" s="20">
        <v>46220</v>
      </c>
      <c r="O25" s="39" t="s">
        <v>94</v>
      </c>
    </row>
    <row r="26" spans="1:15" ht="24.9" customHeight="1">
      <c r="A26" s="14">
        <v>24</v>
      </c>
      <c r="B26" s="14">
        <v>29</v>
      </c>
      <c r="C26" s="15" t="s">
        <v>322</v>
      </c>
      <c r="D26" s="16">
        <v>50.02</v>
      </c>
      <c r="E26" s="16">
        <v>48.78</v>
      </c>
      <c r="F26" s="10">
        <f>(D26-E26)/E26</f>
        <v>2.5420254202542066E-2</v>
      </c>
      <c r="G26" s="18">
        <v>10</v>
      </c>
      <c r="H26" s="18">
        <v>1</v>
      </c>
      <c r="I26" s="12">
        <f t="shared" si="1"/>
        <v>10</v>
      </c>
      <c r="J26" s="18">
        <v>1</v>
      </c>
      <c r="K26" s="19">
        <v>9</v>
      </c>
      <c r="L26" s="9">
        <v>139443</v>
      </c>
      <c r="M26" s="11">
        <v>17981</v>
      </c>
      <c r="N26" s="20">
        <v>46183</v>
      </c>
      <c r="O26" s="39" t="s">
        <v>207</v>
      </c>
    </row>
    <row r="27" spans="1:15" ht="24.9" customHeight="1">
      <c r="A27" s="14">
        <v>25</v>
      </c>
      <c r="B27" s="19" t="s">
        <v>13</v>
      </c>
      <c r="C27" s="15" t="s">
        <v>329</v>
      </c>
      <c r="D27" s="16">
        <v>42</v>
      </c>
      <c r="E27" s="19" t="s">
        <v>13</v>
      </c>
      <c r="F27" s="19" t="s">
        <v>13</v>
      </c>
      <c r="G27" s="18">
        <v>6</v>
      </c>
      <c r="H27" s="18">
        <v>1</v>
      </c>
      <c r="I27" s="19">
        <f t="shared" si="1"/>
        <v>6</v>
      </c>
      <c r="J27" s="18">
        <v>1</v>
      </c>
      <c r="K27" s="19" t="s">
        <v>13</v>
      </c>
      <c r="L27" s="16">
        <v>4987.22</v>
      </c>
      <c r="M27" s="18">
        <v>732</v>
      </c>
      <c r="N27" s="20">
        <v>46192</v>
      </c>
      <c r="O27" s="40" t="s">
        <v>46</v>
      </c>
    </row>
    <row r="28" spans="1:15" ht="24.9" customHeight="1">
      <c r="A28" s="14">
        <v>26</v>
      </c>
      <c r="B28" s="14">
        <v>31</v>
      </c>
      <c r="C28" s="15" t="s">
        <v>371</v>
      </c>
      <c r="D28" s="16">
        <v>34</v>
      </c>
      <c r="E28" s="9">
        <v>36</v>
      </c>
      <c r="F28" s="10">
        <f>(D28-E28)/E28</f>
        <v>-5.5555555555555552E-2</v>
      </c>
      <c r="G28" s="11">
        <v>7</v>
      </c>
      <c r="H28" s="11">
        <v>1</v>
      </c>
      <c r="I28" s="12">
        <f t="shared" si="1"/>
        <v>7</v>
      </c>
      <c r="J28" s="11">
        <v>1</v>
      </c>
      <c r="K28" s="19" t="s">
        <v>13</v>
      </c>
      <c r="L28" s="9">
        <v>687.3</v>
      </c>
      <c r="M28" s="11">
        <v>110</v>
      </c>
      <c r="N28" s="13">
        <v>46090</v>
      </c>
      <c r="O28" s="39" t="s">
        <v>47</v>
      </c>
    </row>
    <row r="29" spans="1:15" ht="24.9" customHeight="1">
      <c r="A29" s="14">
        <v>27</v>
      </c>
      <c r="B29" s="19" t="s">
        <v>13</v>
      </c>
      <c r="C29" s="77" t="s">
        <v>320</v>
      </c>
      <c r="D29" s="16">
        <v>30</v>
      </c>
      <c r="E29" s="19" t="s">
        <v>13</v>
      </c>
      <c r="F29" s="19" t="s">
        <v>13</v>
      </c>
      <c r="G29" s="18">
        <v>7</v>
      </c>
      <c r="H29" s="19" t="s">
        <v>13</v>
      </c>
      <c r="I29" s="19" t="s">
        <v>13</v>
      </c>
      <c r="J29" s="18">
        <v>1</v>
      </c>
      <c r="K29" s="19" t="s">
        <v>13</v>
      </c>
      <c r="L29" s="16">
        <v>21696</v>
      </c>
      <c r="M29" s="18">
        <v>5343</v>
      </c>
      <c r="N29" s="20">
        <v>45758</v>
      </c>
      <c r="O29" s="40" t="s">
        <v>44</v>
      </c>
    </row>
    <row r="30" spans="1:15" ht="24.9" customHeight="1">
      <c r="A30" s="14">
        <v>28</v>
      </c>
      <c r="B30" s="19" t="s">
        <v>13</v>
      </c>
      <c r="C30" s="77" t="s">
        <v>199</v>
      </c>
      <c r="D30" s="16">
        <v>19.350000000000001</v>
      </c>
      <c r="E30" s="19" t="s">
        <v>13</v>
      </c>
      <c r="F30" s="19" t="s">
        <v>13</v>
      </c>
      <c r="G30" s="18">
        <v>5</v>
      </c>
      <c r="H30" s="18">
        <v>1</v>
      </c>
      <c r="I30" s="19">
        <f>G30/H30</f>
        <v>5</v>
      </c>
      <c r="J30" s="18">
        <v>1</v>
      </c>
      <c r="K30" s="19" t="s">
        <v>13</v>
      </c>
      <c r="L30" s="16">
        <v>4132.8900000000003</v>
      </c>
      <c r="M30" s="18">
        <v>802</v>
      </c>
      <c r="N30" s="20">
        <v>46104</v>
      </c>
      <c r="O30" s="40" t="s">
        <v>47</v>
      </c>
    </row>
    <row r="31" spans="1:15" ht="24.9" customHeight="1">
      <c r="A31" s="14">
        <v>29</v>
      </c>
      <c r="B31" s="14">
        <v>27</v>
      </c>
      <c r="C31" s="15" t="s">
        <v>257</v>
      </c>
      <c r="D31" s="16">
        <v>15</v>
      </c>
      <c r="E31" s="9">
        <v>55</v>
      </c>
      <c r="F31" s="10">
        <f>(D31-E31)/E31</f>
        <v>-0.72727272727272729</v>
      </c>
      <c r="G31" s="11">
        <v>3</v>
      </c>
      <c r="H31" s="11">
        <v>1</v>
      </c>
      <c r="I31" s="12">
        <f>G31/H31</f>
        <v>3</v>
      </c>
      <c r="J31" s="11">
        <v>1</v>
      </c>
      <c r="K31" s="19" t="s">
        <v>13</v>
      </c>
      <c r="L31" s="9">
        <v>21076.06</v>
      </c>
      <c r="M31" s="11">
        <v>4291</v>
      </c>
      <c r="N31" s="20">
        <v>46143</v>
      </c>
      <c r="O31" s="40" t="s">
        <v>46</v>
      </c>
    </row>
    <row r="32" spans="1:15" ht="24.75" customHeight="1">
      <c r="A32" s="59"/>
      <c r="B32" s="60" t="s">
        <v>14</v>
      </c>
      <c r="C32" s="61" t="s">
        <v>110</v>
      </c>
      <c r="D32" s="27">
        <f>SUBTOTAL(109,Table132456789101112131415161718192021222324252627282930313233[Pajamos 
(GBO)])</f>
        <v>333668.12</v>
      </c>
      <c r="E32" s="27">
        <f>SUBTOTAL(109,Table132456789101112131415161718192021222324252627282930313233[Pajamos 
praeita sav.
(GBO LW)])</f>
        <v>427305.5400000001</v>
      </c>
      <c r="F32" s="62">
        <f>(D32-E32)/E32</f>
        <v>-0.21913457990738916</v>
      </c>
      <c r="G32" s="34">
        <f>SUBTOTAL(109,Table132456789101112131415161718192021222324252627282930313233[Žiūrovų sk. 
(ADM)])</f>
        <v>39330</v>
      </c>
      <c r="H32" s="63"/>
      <c r="I32" s="59"/>
      <c r="J32" s="63"/>
      <c r="K32" s="64"/>
      <c r="L32" s="65"/>
      <c r="M32" s="63"/>
      <c r="N32" s="66"/>
      <c r="O32" s="67"/>
    </row>
    <row r="33"/>
    <row r="34"/>
    <row r="35" ht="9" customHeight="1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</sheetData>
  <mergeCells count="1">
    <mergeCell ref="A1:O1"/>
  </mergeCells>
  <conditionalFormatting sqref="C27">
    <cfRule type="duplicateValues" dxfId="15" priority="1"/>
  </conditionalFormatting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BFA07-70A8-45FA-AEC8-8CF6CE0897D8}">
  <dimension ref="A1:XFC515"/>
  <sheetViews>
    <sheetView topLeftCell="A16" zoomScale="70" zoomScaleNormal="70" workbookViewId="0">
      <selection activeCell="O20" sqref="O20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373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7">
        <v>1</v>
      </c>
      <c r="B3" s="19" t="s">
        <v>49</v>
      </c>
      <c r="C3" s="8" t="s">
        <v>370</v>
      </c>
      <c r="D3" s="9">
        <v>221446</v>
      </c>
      <c r="E3" s="19" t="s">
        <v>13</v>
      </c>
      <c r="F3" s="19" t="s">
        <v>13</v>
      </c>
      <c r="G3" s="11">
        <v>26647</v>
      </c>
      <c r="H3" s="11">
        <v>217</v>
      </c>
      <c r="I3" s="12">
        <f>G3/H3</f>
        <v>122.79723502304148</v>
      </c>
      <c r="J3" s="11">
        <v>16</v>
      </c>
      <c r="K3" s="12">
        <v>1</v>
      </c>
      <c r="L3" s="9">
        <v>322449.83</v>
      </c>
      <c r="M3" s="11">
        <v>40015</v>
      </c>
      <c r="N3" s="13">
        <v>46233</v>
      </c>
      <c r="O3" s="39" t="s">
        <v>39</v>
      </c>
    </row>
    <row r="4" spans="1:15" s="2" customFormat="1" ht="24.9" customHeight="1">
      <c r="A4" s="14">
        <v>2</v>
      </c>
      <c r="B4" s="14">
        <v>1</v>
      </c>
      <c r="C4" s="15" t="s">
        <v>357</v>
      </c>
      <c r="D4" s="16">
        <v>137522.19</v>
      </c>
      <c r="E4" s="16">
        <v>183207.55</v>
      </c>
      <c r="F4" s="10">
        <f t="shared" ref="F4:F17" si="0">(D4-E4)/E4</f>
        <v>-0.24936395907264733</v>
      </c>
      <c r="G4" s="18">
        <v>14007</v>
      </c>
      <c r="H4" s="18">
        <v>163</v>
      </c>
      <c r="I4" s="19">
        <f>G4/H4</f>
        <v>85.932515337423311</v>
      </c>
      <c r="J4" s="18">
        <v>18</v>
      </c>
      <c r="K4" s="19">
        <v>3</v>
      </c>
      <c r="L4" s="9">
        <v>856398</v>
      </c>
      <c r="M4" s="11">
        <v>94242</v>
      </c>
      <c r="N4" s="20">
        <v>46220</v>
      </c>
      <c r="O4" s="39" t="s">
        <v>207</v>
      </c>
    </row>
    <row r="5" spans="1:15" s="2" customFormat="1" ht="24.9" customHeight="1">
      <c r="A5" s="14">
        <v>3</v>
      </c>
      <c r="B5" s="14">
        <v>2</v>
      </c>
      <c r="C5" s="15" t="s">
        <v>343</v>
      </c>
      <c r="D5" s="16">
        <v>28267.34</v>
      </c>
      <c r="E5" s="16">
        <v>34656.870000000003</v>
      </c>
      <c r="F5" s="10">
        <f t="shared" si="0"/>
        <v>-0.18436546635630979</v>
      </c>
      <c r="G5" s="18">
        <v>4368</v>
      </c>
      <c r="H5" s="18">
        <v>149</v>
      </c>
      <c r="I5" s="19">
        <f>G5/H5</f>
        <v>29.315436241610737</v>
      </c>
      <c r="J5" s="18">
        <v>19</v>
      </c>
      <c r="K5" s="19">
        <v>5</v>
      </c>
      <c r="L5" s="16">
        <v>878203</v>
      </c>
      <c r="M5" s="18">
        <v>133851</v>
      </c>
      <c r="N5" s="13">
        <v>46204</v>
      </c>
      <c r="O5" s="40" t="s">
        <v>207</v>
      </c>
    </row>
    <row r="6" spans="1:15" s="2" customFormat="1" ht="24.9" customHeight="1">
      <c r="A6" s="7">
        <v>4</v>
      </c>
      <c r="B6" s="14">
        <v>4</v>
      </c>
      <c r="C6" s="15" t="s">
        <v>321</v>
      </c>
      <c r="D6" s="16">
        <v>7785.66</v>
      </c>
      <c r="E6" s="16">
        <v>9406.07</v>
      </c>
      <c r="F6" s="10">
        <f t="shared" si="0"/>
        <v>-0.17227279831002745</v>
      </c>
      <c r="G6" s="18">
        <v>915</v>
      </c>
      <c r="H6" s="18">
        <v>33</v>
      </c>
      <c r="I6" s="19">
        <f>G6/H6</f>
        <v>27.727272727272727</v>
      </c>
      <c r="J6" s="18">
        <v>9</v>
      </c>
      <c r="K6" s="19">
        <v>8</v>
      </c>
      <c r="L6" s="9">
        <v>406897</v>
      </c>
      <c r="M6" s="11">
        <v>51778</v>
      </c>
      <c r="N6" s="20">
        <v>46185</v>
      </c>
      <c r="O6" s="39" t="s">
        <v>94</v>
      </c>
    </row>
    <row r="7" spans="1:15" s="2" customFormat="1" ht="24.9" customHeight="1">
      <c r="A7" s="14">
        <v>5</v>
      </c>
      <c r="B7" s="14">
        <v>3</v>
      </c>
      <c r="C7" s="15" t="s">
        <v>351</v>
      </c>
      <c r="D7" s="16">
        <v>7522.51</v>
      </c>
      <c r="E7" s="16">
        <v>11567.28</v>
      </c>
      <c r="F7" s="10">
        <f t="shared" si="0"/>
        <v>-0.3496733890767752</v>
      </c>
      <c r="G7" s="18">
        <v>1193</v>
      </c>
      <c r="H7" s="18">
        <v>54</v>
      </c>
      <c r="I7" s="11" t="s">
        <v>13</v>
      </c>
      <c r="J7" s="18">
        <v>16</v>
      </c>
      <c r="K7" s="19">
        <v>4</v>
      </c>
      <c r="L7" s="16">
        <v>169004</v>
      </c>
      <c r="M7" s="18">
        <v>27212</v>
      </c>
      <c r="N7" s="20">
        <v>46213</v>
      </c>
      <c r="O7" s="40" t="s">
        <v>37</v>
      </c>
    </row>
    <row r="8" spans="1:15" s="2" customFormat="1" ht="24.9" customHeight="1">
      <c r="A8" s="14">
        <v>6</v>
      </c>
      <c r="B8" s="14">
        <v>5</v>
      </c>
      <c r="C8" s="15" t="s">
        <v>326</v>
      </c>
      <c r="D8" s="16">
        <v>7038.14</v>
      </c>
      <c r="E8" s="16">
        <v>8640.7099999999991</v>
      </c>
      <c r="F8" s="10">
        <f t="shared" si="0"/>
        <v>-0.18546739793373448</v>
      </c>
      <c r="G8" s="18">
        <v>1155</v>
      </c>
      <c r="H8" s="11">
        <v>47</v>
      </c>
      <c r="I8" s="12">
        <f>G8/H8</f>
        <v>24.574468085106382</v>
      </c>
      <c r="J8" s="11">
        <v>12</v>
      </c>
      <c r="K8" s="12">
        <v>7</v>
      </c>
      <c r="L8" s="9">
        <v>371525</v>
      </c>
      <c r="M8" s="11">
        <v>61789</v>
      </c>
      <c r="N8" s="13">
        <v>46192</v>
      </c>
      <c r="O8" s="39" t="s">
        <v>37</v>
      </c>
    </row>
    <row r="9" spans="1:15" s="2" customFormat="1" ht="24.9" customHeight="1">
      <c r="A9" s="7">
        <v>7</v>
      </c>
      <c r="B9" s="14">
        <v>7</v>
      </c>
      <c r="C9" s="8" t="s">
        <v>346</v>
      </c>
      <c r="D9" s="16">
        <v>5129.0200000000004</v>
      </c>
      <c r="E9" s="16">
        <v>6816.89</v>
      </c>
      <c r="F9" s="10">
        <f t="shared" si="0"/>
        <v>-0.24760117883668356</v>
      </c>
      <c r="G9" s="18">
        <v>623</v>
      </c>
      <c r="H9" s="18">
        <v>32</v>
      </c>
      <c r="I9" s="19">
        <f>G9/H9</f>
        <v>19.46875</v>
      </c>
      <c r="J9" s="18">
        <v>8</v>
      </c>
      <c r="K9" s="19">
        <v>5</v>
      </c>
      <c r="L9" s="16">
        <v>128446.83</v>
      </c>
      <c r="M9" s="18">
        <v>16608</v>
      </c>
      <c r="N9" s="13">
        <v>46206</v>
      </c>
      <c r="O9" s="39" t="s">
        <v>42</v>
      </c>
    </row>
    <row r="10" spans="1:15" s="2" customFormat="1" ht="24.9" customHeight="1">
      <c r="A10" s="14">
        <v>8</v>
      </c>
      <c r="B10" s="14">
        <v>6</v>
      </c>
      <c r="C10" s="15" t="s">
        <v>366</v>
      </c>
      <c r="D10" s="16">
        <v>4297</v>
      </c>
      <c r="E10" s="16">
        <v>6941</v>
      </c>
      <c r="F10" s="10">
        <f t="shared" si="0"/>
        <v>-0.38092493876962974</v>
      </c>
      <c r="G10" s="18">
        <v>774</v>
      </c>
      <c r="H10" s="19" t="s">
        <v>13</v>
      </c>
      <c r="I10" s="19" t="s">
        <v>13</v>
      </c>
      <c r="J10" s="18">
        <v>14</v>
      </c>
      <c r="K10" s="19">
        <v>2</v>
      </c>
      <c r="L10" s="9">
        <v>19994</v>
      </c>
      <c r="M10" s="11">
        <v>3754</v>
      </c>
      <c r="N10" s="20">
        <v>46227</v>
      </c>
      <c r="O10" s="39" t="s">
        <v>44</v>
      </c>
    </row>
    <row r="11" spans="1:15" s="2" customFormat="1" ht="24.9" customHeight="1">
      <c r="A11" s="7">
        <v>9</v>
      </c>
      <c r="B11" s="14">
        <v>8</v>
      </c>
      <c r="C11" s="15" t="s">
        <v>365</v>
      </c>
      <c r="D11" s="16">
        <v>3560</v>
      </c>
      <c r="E11" s="16">
        <v>5611</v>
      </c>
      <c r="F11" s="10">
        <f t="shared" si="0"/>
        <v>-0.36553199073248976</v>
      </c>
      <c r="G11" s="18">
        <v>467</v>
      </c>
      <c r="H11" s="19" t="s">
        <v>13</v>
      </c>
      <c r="I11" s="19" t="s">
        <v>13</v>
      </c>
      <c r="J11" s="18">
        <v>7</v>
      </c>
      <c r="K11" s="19">
        <v>2</v>
      </c>
      <c r="L11" s="9">
        <v>16280</v>
      </c>
      <c r="M11" s="11">
        <v>2246</v>
      </c>
      <c r="N11" s="20">
        <v>46227</v>
      </c>
      <c r="O11" s="39" t="s">
        <v>44</v>
      </c>
    </row>
    <row r="12" spans="1:15" s="88" customFormat="1" ht="24.9" customHeight="1">
      <c r="A12" s="14">
        <v>10</v>
      </c>
      <c r="B12" s="14">
        <v>16</v>
      </c>
      <c r="C12" s="15" t="s">
        <v>362</v>
      </c>
      <c r="D12" s="16">
        <v>2065</v>
      </c>
      <c r="E12" s="16">
        <v>444</v>
      </c>
      <c r="F12" s="10">
        <f t="shared" si="0"/>
        <v>3.650900900900901</v>
      </c>
      <c r="G12" s="18">
        <v>287</v>
      </c>
      <c r="H12" s="18">
        <v>11</v>
      </c>
      <c r="I12" s="19">
        <f t="shared" ref="I12:I18" si="1">G12/H12</f>
        <v>26.09090909090909</v>
      </c>
      <c r="J12" s="18">
        <v>5</v>
      </c>
      <c r="K12" s="19">
        <v>2</v>
      </c>
      <c r="L12" s="9">
        <v>2890</v>
      </c>
      <c r="M12" s="11">
        <v>389</v>
      </c>
      <c r="N12" s="20">
        <v>46227</v>
      </c>
      <c r="O12" s="39" t="s">
        <v>43</v>
      </c>
    </row>
    <row r="13" spans="1:15" s="2" customFormat="1" ht="24.9" customHeight="1">
      <c r="A13" s="14">
        <v>11</v>
      </c>
      <c r="B13" s="14">
        <v>9</v>
      </c>
      <c r="C13" s="8" t="s">
        <v>251</v>
      </c>
      <c r="D13" s="16">
        <v>1623.5</v>
      </c>
      <c r="E13" s="16">
        <v>3413.62</v>
      </c>
      <c r="F13" s="10">
        <f t="shared" si="0"/>
        <v>-0.52440517690897048</v>
      </c>
      <c r="G13" s="11">
        <v>242</v>
      </c>
      <c r="H13" s="11">
        <v>11</v>
      </c>
      <c r="I13" s="19">
        <f t="shared" si="1"/>
        <v>22</v>
      </c>
      <c r="J13" s="11">
        <v>5</v>
      </c>
      <c r="K13" s="12">
        <v>15</v>
      </c>
      <c r="L13" s="9">
        <v>701130</v>
      </c>
      <c r="M13" s="11">
        <v>92551</v>
      </c>
      <c r="N13" s="13">
        <v>46136</v>
      </c>
      <c r="O13" s="39" t="s">
        <v>207</v>
      </c>
    </row>
    <row r="14" spans="1:15" s="2" customFormat="1" ht="24.9" customHeight="1">
      <c r="A14" s="14">
        <v>12</v>
      </c>
      <c r="B14" s="14">
        <v>12</v>
      </c>
      <c r="C14" s="15" t="s">
        <v>294</v>
      </c>
      <c r="D14" s="16">
        <v>1066.57</v>
      </c>
      <c r="E14" s="16">
        <v>2118.29</v>
      </c>
      <c r="F14" s="10">
        <f t="shared" si="0"/>
        <v>-0.49649481421335134</v>
      </c>
      <c r="G14" s="18">
        <v>135</v>
      </c>
      <c r="H14" s="18">
        <v>6</v>
      </c>
      <c r="I14" s="19">
        <f t="shared" si="1"/>
        <v>22.5</v>
      </c>
      <c r="J14" s="18">
        <v>1</v>
      </c>
      <c r="K14" s="19">
        <v>10</v>
      </c>
      <c r="L14" s="16">
        <v>309960.15999999997</v>
      </c>
      <c r="M14" s="18">
        <v>41272</v>
      </c>
      <c r="N14" s="20">
        <v>46171</v>
      </c>
      <c r="O14" s="40" t="s">
        <v>46</v>
      </c>
    </row>
    <row r="15" spans="1:15" ht="24.9" customHeight="1">
      <c r="A15" s="7">
        <v>13</v>
      </c>
      <c r="B15" s="14">
        <v>13</v>
      </c>
      <c r="C15" s="15" t="s">
        <v>309</v>
      </c>
      <c r="D15" s="16">
        <v>953.5</v>
      </c>
      <c r="E15" s="16">
        <v>1433.5</v>
      </c>
      <c r="F15" s="10">
        <f t="shared" si="0"/>
        <v>-0.3348447854900593</v>
      </c>
      <c r="G15" s="18">
        <v>118</v>
      </c>
      <c r="H15" s="18">
        <v>5</v>
      </c>
      <c r="I15" s="19">
        <f t="shared" si="1"/>
        <v>23.6</v>
      </c>
      <c r="J15" s="18">
        <v>1</v>
      </c>
      <c r="K15" s="19">
        <v>9</v>
      </c>
      <c r="L15" s="16">
        <v>296705</v>
      </c>
      <c r="M15" s="18">
        <v>36231</v>
      </c>
      <c r="N15" s="20">
        <v>46178</v>
      </c>
      <c r="O15" s="40" t="s">
        <v>310</v>
      </c>
    </row>
    <row r="16" spans="1:15" ht="24.9" customHeight="1">
      <c r="A16" s="14">
        <v>14</v>
      </c>
      <c r="B16" s="14">
        <v>11</v>
      </c>
      <c r="C16" s="15" t="s">
        <v>356</v>
      </c>
      <c r="D16" s="16">
        <v>646.20000000000005</v>
      </c>
      <c r="E16" s="16">
        <v>2163.08</v>
      </c>
      <c r="F16" s="10">
        <f t="shared" si="0"/>
        <v>-0.70125931542060393</v>
      </c>
      <c r="G16" s="18">
        <v>86</v>
      </c>
      <c r="H16" s="18">
        <v>7</v>
      </c>
      <c r="I16" s="19">
        <f t="shared" si="1"/>
        <v>12.285714285714286</v>
      </c>
      <c r="J16" s="18">
        <v>5</v>
      </c>
      <c r="K16" s="19">
        <v>3</v>
      </c>
      <c r="L16" s="9">
        <v>14467</v>
      </c>
      <c r="M16" s="11">
        <v>2035</v>
      </c>
      <c r="N16" s="20">
        <v>46220</v>
      </c>
      <c r="O16" s="39" t="s">
        <v>94</v>
      </c>
    </row>
    <row r="17" spans="1:15" ht="24.9" customHeight="1">
      <c r="A17" s="14">
        <v>15</v>
      </c>
      <c r="B17" s="14">
        <v>10</v>
      </c>
      <c r="C17" s="8" t="s">
        <v>353</v>
      </c>
      <c r="D17" s="16">
        <v>607.47</v>
      </c>
      <c r="E17" s="16">
        <v>2528.9699999999998</v>
      </c>
      <c r="F17" s="10">
        <f t="shared" si="0"/>
        <v>-0.75979548986346213</v>
      </c>
      <c r="G17" s="18">
        <v>64</v>
      </c>
      <c r="H17" s="18">
        <v>8</v>
      </c>
      <c r="I17" s="19">
        <f t="shared" si="1"/>
        <v>8</v>
      </c>
      <c r="J17" s="18">
        <v>2</v>
      </c>
      <c r="K17" s="19">
        <v>4</v>
      </c>
      <c r="L17" s="16">
        <v>42644.84</v>
      </c>
      <c r="M17" s="18">
        <v>5496</v>
      </c>
      <c r="N17" s="20">
        <v>46213</v>
      </c>
      <c r="O17" s="40" t="s">
        <v>39</v>
      </c>
    </row>
    <row r="18" spans="1:15" ht="24.9" customHeight="1">
      <c r="A18" s="7">
        <v>16</v>
      </c>
      <c r="B18" s="19" t="s">
        <v>13</v>
      </c>
      <c r="C18" s="8" t="s">
        <v>29</v>
      </c>
      <c r="D18" s="9">
        <v>467.5</v>
      </c>
      <c r="E18" s="19" t="s">
        <v>13</v>
      </c>
      <c r="F18" s="19" t="s">
        <v>13</v>
      </c>
      <c r="G18" s="11">
        <v>188</v>
      </c>
      <c r="H18" s="11">
        <v>12</v>
      </c>
      <c r="I18" s="12">
        <f t="shared" si="1"/>
        <v>15.666666666666666</v>
      </c>
      <c r="J18" s="11">
        <v>4</v>
      </c>
      <c r="K18" s="19" t="s">
        <v>13</v>
      </c>
      <c r="L18" s="9">
        <v>33441.629999999997</v>
      </c>
      <c r="M18" s="11">
        <v>6019</v>
      </c>
      <c r="N18" s="20">
        <v>46024</v>
      </c>
      <c r="O18" s="40" t="s">
        <v>46</v>
      </c>
    </row>
    <row r="19" spans="1:15" ht="25.2" customHeight="1">
      <c r="A19" s="14">
        <v>17</v>
      </c>
      <c r="B19" s="14">
        <v>24</v>
      </c>
      <c r="C19" s="15" t="s">
        <v>328</v>
      </c>
      <c r="D19" s="16">
        <v>405</v>
      </c>
      <c r="E19" s="16">
        <v>97</v>
      </c>
      <c r="F19" s="10">
        <f>(D19-E19)/E19</f>
        <v>3.1752577319587627</v>
      </c>
      <c r="G19" s="18">
        <v>46</v>
      </c>
      <c r="H19" s="18">
        <v>5</v>
      </c>
      <c r="I19" s="19" t="s">
        <v>13</v>
      </c>
      <c r="J19" s="18">
        <v>3</v>
      </c>
      <c r="K19" s="19">
        <v>7</v>
      </c>
      <c r="L19" s="9">
        <v>3557</v>
      </c>
      <c r="M19" s="11">
        <v>547</v>
      </c>
      <c r="N19" s="13">
        <v>46192</v>
      </c>
      <c r="O19" s="39" t="s">
        <v>43</v>
      </c>
    </row>
    <row r="20" spans="1:15" ht="24.9" customHeight="1">
      <c r="A20" s="14">
        <v>18</v>
      </c>
      <c r="B20" s="14">
        <v>22</v>
      </c>
      <c r="C20" s="8" t="s">
        <v>235</v>
      </c>
      <c r="D20" s="16">
        <v>275.13</v>
      </c>
      <c r="E20" s="16">
        <v>159.30000000000001</v>
      </c>
      <c r="F20" s="10">
        <f>(D20-E20)/E20</f>
        <v>0.72711864406779647</v>
      </c>
      <c r="G20" s="11">
        <v>37</v>
      </c>
      <c r="H20" s="11">
        <v>5</v>
      </c>
      <c r="I20" s="19">
        <f>G20/H20</f>
        <v>7.4</v>
      </c>
      <c r="J20" s="11">
        <v>3</v>
      </c>
      <c r="K20" s="12">
        <v>16</v>
      </c>
      <c r="L20" s="9">
        <v>202747.33000000002</v>
      </c>
      <c r="M20" s="11">
        <v>27994</v>
      </c>
      <c r="N20" s="13">
        <v>46122</v>
      </c>
      <c r="O20" s="39" t="s">
        <v>47</v>
      </c>
    </row>
    <row r="21" spans="1:15" ht="24.9" customHeight="1">
      <c r="A21" s="7">
        <v>19</v>
      </c>
      <c r="B21" s="14">
        <v>21</v>
      </c>
      <c r="C21" s="15" t="s">
        <v>318</v>
      </c>
      <c r="D21" s="16">
        <v>224</v>
      </c>
      <c r="E21" s="16">
        <v>166</v>
      </c>
      <c r="F21" s="10">
        <f>(D21-E21)/E21</f>
        <v>0.3493975903614458</v>
      </c>
      <c r="G21" s="18">
        <v>33</v>
      </c>
      <c r="H21" s="19" t="s">
        <v>13</v>
      </c>
      <c r="I21" s="19" t="s">
        <v>13</v>
      </c>
      <c r="J21" s="18">
        <v>2</v>
      </c>
      <c r="K21" s="19">
        <v>8</v>
      </c>
      <c r="L21" s="9">
        <v>16450</v>
      </c>
      <c r="M21" s="11">
        <v>2687</v>
      </c>
      <c r="N21" s="20">
        <v>46185</v>
      </c>
      <c r="O21" s="39" t="s">
        <v>44</v>
      </c>
    </row>
    <row r="22" spans="1:15" ht="24.9" customHeight="1">
      <c r="A22" s="14">
        <v>20</v>
      </c>
      <c r="B22" s="19" t="s">
        <v>13</v>
      </c>
      <c r="C22" s="15" t="s">
        <v>223</v>
      </c>
      <c r="D22" s="9">
        <v>150</v>
      </c>
      <c r="E22" s="19" t="s">
        <v>13</v>
      </c>
      <c r="F22" s="19" t="s">
        <v>13</v>
      </c>
      <c r="G22" s="11">
        <v>30</v>
      </c>
      <c r="H22" s="11">
        <v>1</v>
      </c>
      <c r="I22" s="12">
        <f t="shared" ref="I22:I32" si="2">G22/H22</f>
        <v>30</v>
      </c>
      <c r="J22" s="11">
        <v>1</v>
      </c>
      <c r="K22" s="12">
        <v>15</v>
      </c>
      <c r="L22" s="9">
        <v>1814.4</v>
      </c>
      <c r="M22" s="11">
        <v>353</v>
      </c>
      <c r="N22" s="20">
        <v>46122</v>
      </c>
      <c r="O22" s="40" t="s">
        <v>86</v>
      </c>
    </row>
    <row r="23" spans="1:15" ht="24.9" customHeight="1">
      <c r="A23" s="14">
        <v>21</v>
      </c>
      <c r="B23" s="19" t="s">
        <v>13</v>
      </c>
      <c r="C23" s="8" t="s">
        <v>369</v>
      </c>
      <c r="D23" s="9">
        <v>122.5</v>
      </c>
      <c r="E23" s="19" t="s">
        <v>13</v>
      </c>
      <c r="F23" s="19" t="s">
        <v>13</v>
      </c>
      <c r="G23" s="11">
        <v>50</v>
      </c>
      <c r="H23" s="11">
        <v>12</v>
      </c>
      <c r="I23" s="12">
        <f t="shared" si="2"/>
        <v>4.166666666666667</v>
      </c>
      <c r="J23" s="11">
        <v>4</v>
      </c>
      <c r="K23" s="19" t="s">
        <v>13</v>
      </c>
      <c r="L23" s="9">
        <v>29491.19</v>
      </c>
      <c r="M23" s="11">
        <v>6297</v>
      </c>
      <c r="N23" s="13">
        <v>45807</v>
      </c>
      <c r="O23" s="40" t="s">
        <v>46</v>
      </c>
    </row>
    <row r="24" spans="1:15" ht="24.9" customHeight="1">
      <c r="A24" s="7">
        <v>22</v>
      </c>
      <c r="B24" s="14">
        <v>20</v>
      </c>
      <c r="C24" s="8" t="s">
        <v>263</v>
      </c>
      <c r="D24" s="16">
        <v>120.74</v>
      </c>
      <c r="E24" s="16">
        <v>221.81</v>
      </c>
      <c r="F24" s="10">
        <f>(D24-E24)/E24</f>
        <v>-0.45566024976331099</v>
      </c>
      <c r="G24" s="11">
        <v>22</v>
      </c>
      <c r="H24" s="11">
        <v>1</v>
      </c>
      <c r="I24" s="19">
        <f t="shared" si="2"/>
        <v>22</v>
      </c>
      <c r="J24" s="11">
        <v>1</v>
      </c>
      <c r="K24" s="12">
        <v>14</v>
      </c>
      <c r="L24" s="9">
        <v>938585</v>
      </c>
      <c r="M24" s="11">
        <v>112614</v>
      </c>
      <c r="N24" s="13">
        <v>46143</v>
      </c>
      <c r="O24" s="39" t="s">
        <v>37</v>
      </c>
    </row>
    <row r="25" spans="1:15" ht="24.9" customHeight="1">
      <c r="A25" s="14">
        <v>23</v>
      </c>
      <c r="B25" s="19" t="s">
        <v>13</v>
      </c>
      <c r="C25" s="81" t="s">
        <v>184</v>
      </c>
      <c r="D25" s="9">
        <v>109.5</v>
      </c>
      <c r="E25" s="19" t="s">
        <v>13</v>
      </c>
      <c r="F25" s="19" t="s">
        <v>13</v>
      </c>
      <c r="G25" s="11">
        <v>17</v>
      </c>
      <c r="H25" s="11">
        <v>1</v>
      </c>
      <c r="I25" s="12">
        <f t="shared" si="2"/>
        <v>17</v>
      </c>
      <c r="J25" s="11">
        <v>1</v>
      </c>
      <c r="K25" s="12">
        <v>20</v>
      </c>
      <c r="L25" s="9">
        <v>700474.32</v>
      </c>
      <c r="M25" s="11">
        <v>79546</v>
      </c>
      <c r="N25" s="13">
        <v>46101</v>
      </c>
      <c r="O25" s="40" t="s">
        <v>42</v>
      </c>
    </row>
    <row r="26" spans="1:15" s="1" customFormat="1" ht="24.9" customHeight="1">
      <c r="A26" s="14">
        <v>24</v>
      </c>
      <c r="B26" s="14">
        <v>26</v>
      </c>
      <c r="C26" s="8" t="s">
        <v>224</v>
      </c>
      <c r="D26" s="9">
        <v>89</v>
      </c>
      <c r="E26" s="19" t="s">
        <v>13</v>
      </c>
      <c r="F26" s="19" t="s">
        <v>13</v>
      </c>
      <c r="G26" s="11">
        <v>20</v>
      </c>
      <c r="H26" s="11">
        <v>1</v>
      </c>
      <c r="I26" s="12">
        <f t="shared" si="2"/>
        <v>20</v>
      </c>
      <c r="J26" s="11">
        <v>1</v>
      </c>
      <c r="K26" s="12" t="s">
        <v>13</v>
      </c>
      <c r="L26" s="9">
        <v>22104.35</v>
      </c>
      <c r="M26" s="11">
        <v>5426</v>
      </c>
      <c r="N26" s="13">
        <v>45919</v>
      </c>
      <c r="O26" s="39" t="s">
        <v>86</v>
      </c>
    </row>
    <row r="27" spans="1:15" s="1" customFormat="1" ht="24.9" customHeight="1">
      <c r="A27" s="7">
        <v>25</v>
      </c>
      <c r="B27" s="19" t="s">
        <v>13</v>
      </c>
      <c r="C27" s="8" t="s">
        <v>84</v>
      </c>
      <c r="D27" s="9">
        <v>74.8</v>
      </c>
      <c r="E27" s="19" t="s">
        <v>13</v>
      </c>
      <c r="F27" s="19" t="s">
        <v>13</v>
      </c>
      <c r="G27" s="11">
        <v>16</v>
      </c>
      <c r="H27" s="11">
        <v>1</v>
      </c>
      <c r="I27" s="12">
        <f t="shared" si="2"/>
        <v>16</v>
      </c>
      <c r="J27" s="11">
        <v>1</v>
      </c>
      <c r="K27" s="19" t="s">
        <v>13</v>
      </c>
      <c r="L27" s="9">
        <v>41511</v>
      </c>
      <c r="M27" s="11">
        <v>6594</v>
      </c>
      <c r="N27" s="20">
        <v>46038</v>
      </c>
      <c r="O27" s="40" t="s">
        <v>207</v>
      </c>
    </row>
    <row r="28" spans="1:15" s="1" customFormat="1" ht="24.9" customHeight="1">
      <c r="A28" s="14">
        <v>26</v>
      </c>
      <c r="B28" s="14">
        <v>28</v>
      </c>
      <c r="C28" s="15" t="s">
        <v>270</v>
      </c>
      <c r="D28" s="16">
        <v>64.7</v>
      </c>
      <c r="E28" s="16">
        <v>26.85</v>
      </c>
      <c r="F28" s="10">
        <f>(D28-E28)/E28</f>
        <v>1.409683426443203</v>
      </c>
      <c r="G28" s="18">
        <v>10</v>
      </c>
      <c r="H28" s="18">
        <v>1</v>
      </c>
      <c r="I28" s="19">
        <f t="shared" si="2"/>
        <v>10</v>
      </c>
      <c r="J28" s="18">
        <v>1</v>
      </c>
      <c r="K28" s="19" t="s">
        <v>13</v>
      </c>
      <c r="L28" s="9">
        <v>36265.760000000002</v>
      </c>
      <c r="M28" s="11">
        <v>5629</v>
      </c>
      <c r="N28" s="20">
        <v>45926</v>
      </c>
      <c r="O28" s="40" t="s">
        <v>47</v>
      </c>
    </row>
    <row r="29" spans="1:15" s="1" customFormat="1" ht="24.9" customHeight="1">
      <c r="A29" s="14">
        <v>27</v>
      </c>
      <c r="B29" s="19" t="s">
        <v>13</v>
      </c>
      <c r="C29" s="8" t="s">
        <v>257</v>
      </c>
      <c r="D29" s="9">
        <v>55</v>
      </c>
      <c r="E29" s="19" t="s">
        <v>13</v>
      </c>
      <c r="F29" s="19" t="s">
        <v>13</v>
      </c>
      <c r="G29" s="11">
        <v>11</v>
      </c>
      <c r="H29" s="11">
        <v>1</v>
      </c>
      <c r="I29" s="12">
        <f t="shared" si="2"/>
        <v>11</v>
      </c>
      <c r="J29" s="11">
        <v>1</v>
      </c>
      <c r="K29" s="19" t="s">
        <v>13</v>
      </c>
      <c r="L29" s="9">
        <v>19851.060000000001</v>
      </c>
      <c r="M29" s="11">
        <v>3968</v>
      </c>
      <c r="N29" s="20">
        <v>46143</v>
      </c>
      <c r="O29" s="40" t="s">
        <v>46</v>
      </c>
    </row>
    <row r="30" spans="1:15" s="1" customFormat="1" ht="24.9" customHeight="1">
      <c r="A30" s="7">
        <v>28</v>
      </c>
      <c r="B30" s="14">
        <v>27</v>
      </c>
      <c r="C30" s="15" t="s">
        <v>78</v>
      </c>
      <c r="D30" s="16">
        <v>51.7</v>
      </c>
      <c r="E30" s="16">
        <v>31.8</v>
      </c>
      <c r="F30" s="10">
        <f>(D30-E30)/E30</f>
        <v>0.62578616352201266</v>
      </c>
      <c r="G30" s="18">
        <v>6</v>
      </c>
      <c r="H30" s="18">
        <v>1</v>
      </c>
      <c r="I30" s="19">
        <f t="shared" si="2"/>
        <v>6</v>
      </c>
      <c r="J30" s="18">
        <v>1</v>
      </c>
      <c r="K30" s="19" t="s">
        <v>13</v>
      </c>
      <c r="L30" s="9">
        <v>153338.23999999999</v>
      </c>
      <c r="M30" s="11">
        <v>21239</v>
      </c>
      <c r="N30" s="20">
        <v>46038</v>
      </c>
      <c r="O30" s="40" t="s">
        <v>47</v>
      </c>
    </row>
    <row r="31" spans="1:15" s="1" customFormat="1" ht="24.9" customHeight="1">
      <c r="A31" s="14">
        <v>29</v>
      </c>
      <c r="B31" s="14">
        <v>18</v>
      </c>
      <c r="C31" s="15" t="s">
        <v>322</v>
      </c>
      <c r="D31" s="16">
        <v>48.78</v>
      </c>
      <c r="E31" s="16">
        <v>370.46</v>
      </c>
      <c r="F31" s="10">
        <f>(D31-E31)/E31</f>
        <v>-0.86832586514063592</v>
      </c>
      <c r="G31" s="18">
        <v>10</v>
      </c>
      <c r="H31" s="18">
        <v>1</v>
      </c>
      <c r="I31" s="19">
        <f t="shared" si="2"/>
        <v>10</v>
      </c>
      <c r="J31" s="18">
        <v>1</v>
      </c>
      <c r="K31" s="19">
        <v>8</v>
      </c>
      <c r="L31" s="9">
        <v>139393</v>
      </c>
      <c r="M31" s="11">
        <v>17971</v>
      </c>
      <c r="N31" s="20">
        <v>46183</v>
      </c>
      <c r="O31" s="39" t="s">
        <v>207</v>
      </c>
    </row>
    <row r="32" spans="1:15" s="1" customFormat="1" ht="24.9" customHeight="1">
      <c r="A32" s="14">
        <v>30</v>
      </c>
      <c r="B32" s="19" t="s">
        <v>13</v>
      </c>
      <c r="C32" s="8" t="s">
        <v>192</v>
      </c>
      <c r="D32" s="9">
        <v>44.45</v>
      </c>
      <c r="E32" s="19" t="s">
        <v>13</v>
      </c>
      <c r="F32" s="19" t="s">
        <v>13</v>
      </c>
      <c r="G32" s="11">
        <v>5</v>
      </c>
      <c r="H32" s="11">
        <v>1</v>
      </c>
      <c r="I32" s="12">
        <f t="shared" si="2"/>
        <v>5</v>
      </c>
      <c r="J32" s="11">
        <v>1</v>
      </c>
      <c r="K32" s="19" t="s">
        <v>13</v>
      </c>
      <c r="L32" s="9">
        <v>32526.240000000005</v>
      </c>
      <c r="M32" s="11">
        <v>4436</v>
      </c>
      <c r="N32" s="13">
        <v>46104</v>
      </c>
      <c r="O32" s="39" t="s">
        <v>47</v>
      </c>
    </row>
    <row r="33" spans="1:15" s="1" customFormat="1" ht="24.9" customHeight="1">
      <c r="A33" s="7">
        <v>31</v>
      </c>
      <c r="B33" s="19" t="s">
        <v>13</v>
      </c>
      <c r="C33" s="8" t="s">
        <v>371</v>
      </c>
      <c r="D33" s="9">
        <v>36</v>
      </c>
      <c r="E33" s="19" t="s">
        <v>13</v>
      </c>
      <c r="F33" s="19" t="s">
        <v>13</v>
      </c>
      <c r="G33" s="11">
        <v>8</v>
      </c>
      <c r="H33" s="11">
        <v>2</v>
      </c>
      <c r="I33" s="19" t="s">
        <v>13</v>
      </c>
      <c r="J33" s="11">
        <v>1</v>
      </c>
      <c r="K33" s="19" t="s">
        <v>13</v>
      </c>
      <c r="L33" s="9">
        <v>645.29999999999995</v>
      </c>
      <c r="M33" s="11">
        <v>101</v>
      </c>
      <c r="N33" s="13">
        <v>46090</v>
      </c>
      <c r="O33" s="39" t="s">
        <v>47</v>
      </c>
    </row>
    <row r="34" spans="1:15" s="1" customFormat="1" ht="24.9" customHeight="1">
      <c r="A34" s="14">
        <v>32</v>
      </c>
      <c r="B34" s="19" t="s">
        <v>13</v>
      </c>
      <c r="C34" s="15" t="s">
        <v>234</v>
      </c>
      <c r="D34" s="9">
        <v>30</v>
      </c>
      <c r="E34" s="19" t="s">
        <v>13</v>
      </c>
      <c r="F34" s="19" t="s">
        <v>13</v>
      </c>
      <c r="G34" s="11">
        <v>4</v>
      </c>
      <c r="H34" s="11">
        <v>1</v>
      </c>
      <c r="I34" s="12">
        <f>G34/H34</f>
        <v>4</v>
      </c>
      <c r="J34" s="11">
        <v>1</v>
      </c>
      <c r="K34" s="19" t="s">
        <v>13</v>
      </c>
      <c r="L34" s="9">
        <v>1839.67</v>
      </c>
      <c r="M34" s="11">
        <v>275</v>
      </c>
      <c r="N34" s="20">
        <v>46104</v>
      </c>
      <c r="O34" s="39" t="s">
        <v>47</v>
      </c>
    </row>
    <row r="35" spans="1:15" s="1" customFormat="1" ht="24.9" customHeight="1">
      <c r="A35" s="14">
        <v>33</v>
      </c>
      <c r="B35" s="14">
        <v>23</v>
      </c>
      <c r="C35" s="15" t="s">
        <v>344</v>
      </c>
      <c r="D35" s="16">
        <v>6</v>
      </c>
      <c r="E35" s="16">
        <v>111.99</v>
      </c>
      <c r="F35" s="10">
        <f>(D35-E35)/E35</f>
        <v>-0.9464237878381998</v>
      </c>
      <c r="G35" s="18">
        <v>2</v>
      </c>
      <c r="H35" s="18">
        <v>1</v>
      </c>
      <c r="I35" s="19">
        <f>G35/H35</f>
        <v>2</v>
      </c>
      <c r="J35" s="18">
        <v>1</v>
      </c>
      <c r="K35" s="19">
        <v>5</v>
      </c>
      <c r="L35" s="16">
        <v>13150</v>
      </c>
      <c r="M35" s="18">
        <v>1684</v>
      </c>
      <c r="N35" s="13">
        <v>46206</v>
      </c>
      <c r="O35" s="39" t="s">
        <v>94</v>
      </c>
    </row>
    <row r="36" spans="1:15" ht="24.75" customHeight="1">
      <c r="A36" s="59"/>
      <c r="B36" s="60" t="s">
        <v>14</v>
      </c>
      <c r="C36" s="29" t="s">
        <v>372</v>
      </c>
      <c r="D36" s="27">
        <f>SUBTOTAL(109,Table1324567891011121314151617181920212223242526272829303132[Pajamos 
(GBO)])</f>
        <v>431904.90000000008</v>
      </c>
      <c r="E36" s="27">
        <f>SUBTOTAL(109,Table1324567891011121314151617181920212223242526272829303132[Pajamos 
praeita sav.
(GBO LW)])</f>
        <v>280134.03999999992</v>
      </c>
      <c r="F36" s="62">
        <f>(D36-E36)/E36</f>
        <v>0.54177942816231905</v>
      </c>
      <c r="G36" s="34">
        <f>SUBTOTAL(109,Table1324567891011121314151617181920212223242526272829303132[Žiūrovų sk. 
(ADM)])</f>
        <v>51596</v>
      </c>
      <c r="H36" s="63"/>
      <c r="I36" s="59"/>
      <c r="J36" s="63"/>
      <c r="K36" s="64"/>
      <c r="L36" s="65"/>
      <c r="M36" s="63"/>
      <c r="N36" s="66"/>
      <c r="O36" s="67"/>
    </row>
    <row r="37" spans="1:15"/>
    <row r="38" spans="1:15"/>
    <row r="39" spans="1:15" ht="9" customHeight="1"/>
    <row r="40" spans="1:15"/>
    <row r="41" spans="1:15"/>
    <row r="42" spans="1:15"/>
    <row r="43" spans="1:15"/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408F0-20A3-4A82-A0CB-45F0E3CA7A66}">
  <dimension ref="A1:XFC499"/>
  <sheetViews>
    <sheetView zoomScale="70" zoomScaleNormal="70" workbookViewId="0">
      <selection activeCell="O30" sqref="O30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361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4">
        <v>1</v>
      </c>
      <c r="C3" s="15" t="s">
        <v>357</v>
      </c>
      <c r="D3" s="16">
        <v>183207.55</v>
      </c>
      <c r="E3" s="16">
        <v>180052.26</v>
      </c>
      <c r="F3" s="10">
        <f>(D3-E3)/E3</f>
        <v>1.7524301000165058E-2</v>
      </c>
      <c r="G3" s="18">
        <v>18798</v>
      </c>
      <c r="H3" s="18">
        <v>188</v>
      </c>
      <c r="I3" s="19">
        <f>G3/H3</f>
        <v>99.989361702127653</v>
      </c>
      <c r="J3" s="18">
        <v>19</v>
      </c>
      <c r="K3" s="19">
        <v>2</v>
      </c>
      <c r="L3" s="9">
        <v>557409</v>
      </c>
      <c r="M3" s="11">
        <v>60883</v>
      </c>
      <c r="N3" s="20">
        <v>46220</v>
      </c>
      <c r="O3" s="39" t="s">
        <v>207</v>
      </c>
    </row>
    <row r="4" spans="1:15" s="2" customFormat="1" ht="24.9" customHeight="1">
      <c r="A4" s="14">
        <v>2</v>
      </c>
      <c r="B4" s="14">
        <v>2</v>
      </c>
      <c r="C4" s="15" t="s">
        <v>343</v>
      </c>
      <c r="D4" s="16">
        <v>34656.870000000003</v>
      </c>
      <c r="E4" s="16">
        <v>52150.82</v>
      </c>
      <c r="F4" s="10">
        <f>(D4-E4)/E4</f>
        <v>-0.33544918373287319</v>
      </c>
      <c r="G4" s="18">
        <v>5323</v>
      </c>
      <c r="H4" s="18">
        <v>197</v>
      </c>
      <c r="I4" s="19">
        <f>G4/H4</f>
        <v>27.020304568527919</v>
      </c>
      <c r="J4" s="18">
        <v>24</v>
      </c>
      <c r="K4" s="19">
        <v>4</v>
      </c>
      <c r="L4" s="16">
        <v>806757</v>
      </c>
      <c r="M4" s="18">
        <v>122121</v>
      </c>
      <c r="N4" s="13">
        <v>46204</v>
      </c>
      <c r="O4" s="40" t="s">
        <v>207</v>
      </c>
    </row>
    <row r="5" spans="1:15" s="2" customFormat="1" ht="24.9" customHeight="1">
      <c r="A5" s="14">
        <v>3</v>
      </c>
      <c r="B5" s="14">
        <v>3</v>
      </c>
      <c r="C5" s="15" t="s">
        <v>351</v>
      </c>
      <c r="D5" s="16">
        <v>11567.28</v>
      </c>
      <c r="E5" s="16">
        <v>19115.87</v>
      </c>
      <c r="F5" s="10">
        <f>(D5-E5)/E5</f>
        <v>-0.3948860292521344</v>
      </c>
      <c r="G5" s="18">
        <v>1789</v>
      </c>
      <c r="H5" s="18">
        <v>93</v>
      </c>
      <c r="I5" s="11" t="s">
        <v>13</v>
      </c>
      <c r="J5" s="18">
        <v>19</v>
      </c>
      <c r="K5" s="19">
        <v>3</v>
      </c>
      <c r="L5" s="16">
        <v>146504</v>
      </c>
      <c r="M5" s="18">
        <v>23437</v>
      </c>
      <c r="N5" s="20">
        <v>46213</v>
      </c>
      <c r="O5" s="40" t="s">
        <v>37</v>
      </c>
    </row>
    <row r="6" spans="1:15" s="2" customFormat="1" ht="24.9" customHeight="1">
      <c r="A6" s="14">
        <v>4</v>
      </c>
      <c r="B6" s="14">
        <v>5</v>
      </c>
      <c r="C6" s="15" t="s">
        <v>321</v>
      </c>
      <c r="D6" s="16">
        <v>9406.07</v>
      </c>
      <c r="E6" s="16">
        <v>8663.57</v>
      </c>
      <c r="F6" s="10">
        <f>(D6-E6)/E6</f>
        <v>8.570369951417256E-2</v>
      </c>
      <c r="G6" s="18">
        <v>1078</v>
      </c>
      <c r="H6" s="18">
        <v>46</v>
      </c>
      <c r="I6" s="19">
        <f>G6/H6</f>
        <v>23.434782608695652</v>
      </c>
      <c r="J6" s="18">
        <v>10</v>
      </c>
      <c r="K6" s="19">
        <v>7</v>
      </c>
      <c r="L6" s="9">
        <v>388443</v>
      </c>
      <c r="M6" s="11">
        <v>49341</v>
      </c>
      <c r="N6" s="20">
        <v>46185</v>
      </c>
      <c r="O6" s="39" t="s">
        <v>94</v>
      </c>
    </row>
    <row r="7" spans="1:15" s="2" customFormat="1" ht="24.9" customHeight="1">
      <c r="A7" s="14">
        <v>5</v>
      </c>
      <c r="B7" s="14">
        <v>4</v>
      </c>
      <c r="C7" s="15" t="s">
        <v>326</v>
      </c>
      <c r="D7" s="16">
        <v>8640.7099999999991</v>
      </c>
      <c r="E7" s="16">
        <v>11939.64</v>
      </c>
      <c r="F7" s="10">
        <f>(D7-E7)/E7</f>
        <v>-0.27630062547949524</v>
      </c>
      <c r="G7" s="18">
        <v>1437</v>
      </c>
      <c r="H7" s="11">
        <v>70</v>
      </c>
      <c r="I7" s="12">
        <f>G7/H7</f>
        <v>20.528571428571428</v>
      </c>
      <c r="J7" s="11">
        <v>12</v>
      </c>
      <c r="K7" s="12">
        <v>6</v>
      </c>
      <c r="L7" s="9">
        <v>352777</v>
      </c>
      <c r="M7" s="11">
        <v>58551</v>
      </c>
      <c r="N7" s="13">
        <v>46192</v>
      </c>
      <c r="O7" s="39" t="s">
        <v>37</v>
      </c>
    </row>
    <row r="8" spans="1:15" s="2" customFormat="1" ht="24.9" customHeight="1">
      <c r="A8" s="14">
        <v>6</v>
      </c>
      <c r="B8" s="19" t="s">
        <v>49</v>
      </c>
      <c r="C8" s="15" t="s">
        <v>366</v>
      </c>
      <c r="D8" s="16">
        <v>6941</v>
      </c>
      <c r="E8" s="19" t="s">
        <v>13</v>
      </c>
      <c r="F8" s="19" t="s">
        <v>13</v>
      </c>
      <c r="G8" s="18">
        <v>1271</v>
      </c>
      <c r="H8" s="19" t="s">
        <v>13</v>
      </c>
      <c r="I8" s="19" t="s">
        <v>13</v>
      </c>
      <c r="J8" s="18">
        <v>13</v>
      </c>
      <c r="K8" s="19">
        <v>1</v>
      </c>
      <c r="L8" s="9">
        <v>6941</v>
      </c>
      <c r="M8" s="11">
        <v>1271</v>
      </c>
      <c r="N8" s="20">
        <v>46227</v>
      </c>
      <c r="O8" s="39" t="s">
        <v>44</v>
      </c>
    </row>
    <row r="9" spans="1:15" s="2" customFormat="1" ht="24.9" customHeight="1">
      <c r="A9" s="14">
        <v>7</v>
      </c>
      <c r="B9" s="14">
        <v>6</v>
      </c>
      <c r="C9" s="8" t="s">
        <v>346</v>
      </c>
      <c r="D9" s="16">
        <v>6816.89</v>
      </c>
      <c r="E9" s="16">
        <v>6771.76</v>
      </c>
      <c r="F9" s="10">
        <f>(D9-E9)/E9</f>
        <v>6.6644417404042831E-3</v>
      </c>
      <c r="G9" s="18">
        <v>832</v>
      </c>
      <c r="H9" s="18">
        <v>37</v>
      </c>
      <c r="I9" s="19">
        <f>G9/H9</f>
        <v>22.486486486486488</v>
      </c>
      <c r="J9" s="18">
        <v>8</v>
      </c>
      <c r="K9" s="19">
        <v>4</v>
      </c>
      <c r="L9" s="16">
        <v>114562.67</v>
      </c>
      <c r="M9" s="18">
        <v>14628</v>
      </c>
      <c r="N9" s="13">
        <v>46206</v>
      </c>
      <c r="O9" s="39" t="s">
        <v>42</v>
      </c>
    </row>
    <row r="10" spans="1:15" s="2" customFormat="1" ht="24.9" customHeight="1">
      <c r="A10" s="14">
        <v>8</v>
      </c>
      <c r="B10" s="19" t="s">
        <v>49</v>
      </c>
      <c r="C10" s="15" t="s">
        <v>365</v>
      </c>
      <c r="D10" s="16">
        <v>5611</v>
      </c>
      <c r="E10" s="19" t="s">
        <v>13</v>
      </c>
      <c r="F10" s="19" t="s">
        <v>13</v>
      </c>
      <c r="G10" s="18">
        <v>745</v>
      </c>
      <c r="H10" s="19" t="s">
        <v>13</v>
      </c>
      <c r="I10" s="19" t="s">
        <v>13</v>
      </c>
      <c r="J10" s="18">
        <v>13</v>
      </c>
      <c r="K10" s="19" t="s">
        <v>13</v>
      </c>
      <c r="L10" s="9">
        <v>5611</v>
      </c>
      <c r="M10" s="11">
        <v>745</v>
      </c>
      <c r="N10" s="20">
        <v>46227</v>
      </c>
      <c r="O10" s="39" t="s">
        <v>44</v>
      </c>
    </row>
    <row r="11" spans="1:15" s="2" customFormat="1" ht="24.9" customHeight="1">
      <c r="A11" s="14">
        <v>9</v>
      </c>
      <c r="B11" s="14">
        <v>9</v>
      </c>
      <c r="C11" s="8" t="s">
        <v>251</v>
      </c>
      <c r="D11" s="16">
        <v>3413.62</v>
      </c>
      <c r="E11" s="16">
        <v>3846.99</v>
      </c>
      <c r="F11" s="10">
        <f>(D11-E11)/E11</f>
        <v>-0.11265170951835068</v>
      </c>
      <c r="G11" s="11">
        <v>419</v>
      </c>
      <c r="H11" s="11">
        <v>20</v>
      </c>
      <c r="I11" s="19">
        <f t="shared" ref="I11:I17" si="0">G11/H11</f>
        <v>20.95</v>
      </c>
      <c r="J11" s="11">
        <v>9</v>
      </c>
      <c r="K11" s="12">
        <v>14</v>
      </c>
      <c r="L11" s="9">
        <v>695894</v>
      </c>
      <c r="M11" s="11">
        <v>91735</v>
      </c>
      <c r="N11" s="13">
        <v>46136</v>
      </c>
      <c r="O11" s="39" t="s">
        <v>207</v>
      </c>
    </row>
    <row r="12" spans="1:15" s="2" customFormat="1" ht="24.9" customHeight="1">
      <c r="A12" s="14">
        <v>10</v>
      </c>
      <c r="B12" s="14">
        <v>7</v>
      </c>
      <c r="C12" s="8" t="s">
        <v>353</v>
      </c>
      <c r="D12" s="16">
        <v>2528.9699999999998</v>
      </c>
      <c r="E12" s="16">
        <v>4391.55</v>
      </c>
      <c r="F12" s="10">
        <f>(D12-E12)/E12</f>
        <v>-0.4241281552071593</v>
      </c>
      <c r="G12" s="18">
        <v>288</v>
      </c>
      <c r="H12" s="18">
        <v>14</v>
      </c>
      <c r="I12" s="19">
        <f t="shared" si="0"/>
        <v>20.571428571428573</v>
      </c>
      <c r="J12" s="18">
        <v>6</v>
      </c>
      <c r="K12" s="19">
        <v>3</v>
      </c>
      <c r="L12" s="16">
        <v>40172.99</v>
      </c>
      <c r="M12" s="18">
        <v>5132</v>
      </c>
      <c r="N12" s="20">
        <v>46213</v>
      </c>
      <c r="O12" s="40" t="s">
        <v>39</v>
      </c>
    </row>
    <row r="13" spans="1:15" s="2" customFormat="1" ht="24.9" customHeight="1">
      <c r="A13" s="14">
        <v>11</v>
      </c>
      <c r="B13" s="14">
        <v>8</v>
      </c>
      <c r="C13" s="15" t="s">
        <v>356</v>
      </c>
      <c r="D13" s="16">
        <v>2163.08</v>
      </c>
      <c r="E13" s="16">
        <v>4362.49</v>
      </c>
      <c r="F13" s="10">
        <f>(D13-E13)/E13</f>
        <v>-0.50416390639290865</v>
      </c>
      <c r="G13" s="18">
        <v>286</v>
      </c>
      <c r="H13" s="18">
        <v>17</v>
      </c>
      <c r="I13" s="19">
        <f t="shared" si="0"/>
        <v>16.823529411764707</v>
      </c>
      <c r="J13" s="18">
        <v>9</v>
      </c>
      <c r="K13" s="19">
        <v>2</v>
      </c>
      <c r="L13" s="9">
        <v>12272</v>
      </c>
      <c r="M13" s="11">
        <v>1695</v>
      </c>
      <c r="N13" s="20">
        <v>46220</v>
      </c>
      <c r="O13" s="39" t="s">
        <v>94</v>
      </c>
    </row>
    <row r="14" spans="1:15" s="2" customFormat="1" ht="24.9" customHeight="1">
      <c r="A14" s="14">
        <v>12</v>
      </c>
      <c r="B14" s="14">
        <v>12</v>
      </c>
      <c r="C14" s="15" t="s">
        <v>294</v>
      </c>
      <c r="D14" s="16">
        <v>2118.29</v>
      </c>
      <c r="E14" s="16">
        <v>1297.19</v>
      </c>
      <c r="F14" s="10">
        <f>(D14-E14)/E14</f>
        <v>0.63298360301883294</v>
      </c>
      <c r="G14" s="18">
        <v>238</v>
      </c>
      <c r="H14" s="18">
        <v>9</v>
      </c>
      <c r="I14" s="19">
        <f t="shared" si="0"/>
        <v>26.444444444444443</v>
      </c>
      <c r="J14" s="18">
        <v>3</v>
      </c>
      <c r="K14" s="19">
        <v>9</v>
      </c>
      <c r="L14" s="16">
        <v>306574.45</v>
      </c>
      <c r="M14" s="18">
        <v>40763</v>
      </c>
      <c r="N14" s="20">
        <v>46171</v>
      </c>
      <c r="O14" s="40" t="s">
        <v>46</v>
      </c>
    </row>
    <row r="15" spans="1:15" ht="24.9" customHeight="1">
      <c r="A15" s="14">
        <v>13</v>
      </c>
      <c r="B15" s="14">
        <v>10</v>
      </c>
      <c r="C15" s="15" t="s">
        <v>309</v>
      </c>
      <c r="D15" s="16">
        <v>1433.5</v>
      </c>
      <c r="E15" s="16">
        <v>2411.2199999999998</v>
      </c>
      <c r="F15" s="10">
        <f>(D15-E15)/E15</f>
        <v>-0.40548767843664196</v>
      </c>
      <c r="G15" s="18">
        <v>173</v>
      </c>
      <c r="H15" s="18">
        <v>7</v>
      </c>
      <c r="I15" s="19">
        <f t="shared" si="0"/>
        <v>24.714285714285715</v>
      </c>
      <c r="J15" s="18">
        <v>2</v>
      </c>
      <c r="K15" s="19">
        <v>8</v>
      </c>
      <c r="L15" s="16">
        <v>295061</v>
      </c>
      <c r="M15" s="18">
        <v>36022</v>
      </c>
      <c r="N15" s="20">
        <v>46178</v>
      </c>
      <c r="O15" s="40" t="s">
        <v>310</v>
      </c>
    </row>
    <row r="16" spans="1:15" ht="24.9" customHeight="1">
      <c r="A16" s="14">
        <v>14</v>
      </c>
      <c r="B16" s="19" t="s">
        <v>13</v>
      </c>
      <c r="C16" s="8" t="s">
        <v>228</v>
      </c>
      <c r="D16" s="16">
        <v>641.9</v>
      </c>
      <c r="E16" s="19" t="s">
        <v>13</v>
      </c>
      <c r="F16" s="19" t="s">
        <v>13</v>
      </c>
      <c r="G16" s="18">
        <v>205</v>
      </c>
      <c r="H16" s="18">
        <v>13</v>
      </c>
      <c r="I16" s="19">
        <f t="shared" si="0"/>
        <v>15.76923076923077</v>
      </c>
      <c r="J16" s="18">
        <v>5</v>
      </c>
      <c r="K16" s="19" t="s">
        <v>13</v>
      </c>
      <c r="L16" s="9">
        <v>203538.64</v>
      </c>
      <c r="M16" s="11">
        <v>37006</v>
      </c>
      <c r="N16" s="13">
        <v>45905</v>
      </c>
      <c r="O16" s="40" t="s">
        <v>46</v>
      </c>
    </row>
    <row r="17" spans="1:15" ht="24.9" customHeight="1">
      <c r="A17" s="14">
        <v>15</v>
      </c>
      <c r="B17" s="14">
        <v>18</v>
      </c>
      <c r="C17" s="77" t="s">
        <v>135</v>
      </c>
      <c r="D17" s="16">
        <v>640.4</v>
      </c>
      <c r="E17" s="16">
        <v>290.39999999999998</v>
      </c>
      <c r="F17" s="10">
        <f>(D17-E17)/E17</f>
        <v>1.2052341597796143</v>
      </c>
      <c r="G17" s="18">
        <v>190</v>
      </c>
      <c r="H17" s="18">
        <v>13</v>
      </c>
      <c r="I17" s="19">
        <f t="shared" si="0"/>
        <v>14.615384615384615</v>
      </c>
      <c r="J17" s="18">
        <v>5</v>
      </c>
      <c r="K17" s="11"/>
      <c r="L17" s="9">
        <v>74045.149999999994</v>
      </c>
      <c r="M17" s="11">
        <v>12859</v>
      </c>
      <c r="N17" s="20">
        <v>46066</v>
      </c>
      <c r="O17" s="40" t="s">
        <v>46</v>
      </c>
    </row>
    <row r="18" spans="1:15" ht="24.9" customHeight="1">
      <c r="A18" s="14">
        <v>16</v>
      </c>
      <c r="B18" s="19" t="s">
        <v>49</v>
      </c>
      <c r="C18" s="15" t="s">
        <v>362</v>
      </c>
      <c r="D18" s="16">
        <v>444</v>
      </c>
      <c r="E18" s="19" t="s">
        <v>13</v>
      </c>
      <c r="F18" s="19" t="s">
        <v>13</v>
      </c>
      <c r="G18" s="18">
        <v>58</v>
      </c>
      <c r="H18" s="18">
        <v>10</v>
      </c>
      <c r="I18" s="19" t="s">
        <v>13</v>
      </c>
      <c r="J18" s="18">
        <v>4</v>
      </c>
      <c r="K18" s="19">
        <v>1</v>
      </c>
      <c r="L18" s="9">
        <v>444</v>
      </c>
      <c r="M18" s="11">
        <v>58</v>
      </c>
      <c r="N18" s="20">
        <v>46227</v>
      </c>
      <c r="O18" s="39" t="s">
        <v>43</v>
      </c>
    </row>
    <row r="19" spans="1:15" ht="24.9" customHeight="1">
      <c r="A19" s="14">
        <v>17</v>
      </c>
      <c r="B19" s="14">
        <v>16</v>
      </c>
      <c r="C19" s="15" t="s">
        <v>337</v>
      </c>
      <c r="D19" s="16">
        <v>422.1</v>
      </c>
      <c r="E19" s="16">
        <v>433</v>
      </c>
      <c r="F19" s="10">
        <f>(D19-E19)/E19</f>
        <v>-2.5173210161662764E-2</v>
      </c>
      <c r="G19" s="18">
        <v>48</v>
      </c>
      <c r="H19" s="18">
        <v>3</v>
      </c>
      <c r="I19" s="19">
        <f>G19/H19</f>
        <v>16</v>
      </c>
      <c r="J19" s="18">
        <v>2</v>
      </c>
      <c r="K19" s="11">
        <v>5</v>
      </c>
      <c r="L19" s="16">
        <v>33969</v>
      </c>
      <c r="M19" s="18">
        <v>4378</v>
      </c>
      <c r="N19" s="20">
        <v>46199</v>
      </c>
      <c r="O19" s="40" t="s">
        <v>310</v>
      </c>
    </row>
    <row r="20" spans="1:15" ht="24.9" customHeight="1">
      <c r="A20" s="14">
        <v>18</v>
      </c>
      <c r="B20" s="14">
        <v>14</v>
      </c>
      <c r="C20" s="15" t="s">
        <v>322</v>
      </c>
      <c r="D20" s="16">
        <v>370.46</v>
      </c>
      <c r="E20" s="16">
        <v>871.65</v>
      </c>
      <c r="F20" s="10">
        <f>(D20-E20)/E20</f>
        <v>-0.57498996156714277</v>
      </c>
      <c r="G20" s="18">
        <v>57</v>
      </c>
      <c r="H20" s="18">
        <v>3</v>
      </c>
      <c r="I20" s="19">
        <f>G20/H20</f>
        <v>19</v>
      </c>
      <c r="J20" s="18">
        <v>2</v>
      </c>
      <c r="K20" s="19">
        <v>7</v>
      </c>
      <c r="L20" s="9">
        <v>138773</v>
      </c>
      <c r="M20" s="11">
        <v>17837</v>
      </c>
      <c r="N20" s="20">
        <v>46183</v>
      </c>
      <c r="O20" s="39" t="s">
        <v>207</v>
      </c>
    </row>
    <row r="21" spans="1:15" ht="24.9" customHeight="1">
      <c r="A21" s="14">
        <v>19</v>
      </c>
      <c r="B21" s="19" t="s">
        <v>13</v>
      </c>
      <c r="C21" s="15" t="s">
        <v>367</v>
      </c>
      <c r="D21" s="16">
        <v>290.39999999999998</v>
      </c>
      <c r="E21" s="19" t="s">
        <v>13</v>
      </c>
      <c r="F21" s="19" t="s">
        <v>13</v>
      </c>
      <c r="G21" s="18">
        <v>60</v>
      </c>
      <c r="H21" s="18">
        <v>1</v>
      </c>
      <c r="I21" s="19">
        <f>G21/H21</f>
        <v>60</v>
      </c>
      <c r="J21" s="18">
        <v>1</v>
      </c>
      <c r="K21" s="19" t="s">
        <v>13</v>
      </c>
      <c r="L21" s="9">
        <v>60247.42</v>
      </c>
      <c r="M21" s="11">
        <v>11801</v>
      </c>
      <c r="N21" s="20">
        <v>45688</v>
      </c>
      <c r="O21" s="40" t="s">
        <v>46</v>
      </c>
    </row>
    <row r="22" spans="1:15" ht="24.9" customHeight="1">
      <c r="A22" s="14">
        <v>20</v>
      </c>
      <c r="B22" s="14">
        <v>11</v>
      </c>
      <c r="C22" s="8" t="s">
        <v>263</v>
      </c>
      <c r="D22" s="16">
        <v>221.81</v>
      </c>
      <c r="E22" s="16">
        <v>1488.8</v>
      </c>
      <c r="F22" s="10">
        <f>(D22-E22)/E22</f>
        <v>-0.8510142396560989</v>
      </c>
      <c r="G22" s="11">
        <v>31</v>
      </c>
      <c r="H22" s="11">
        <v>2</v>
      </c>
      <c r="I22" s="19">
        <f>G22/H22</f>
        <v>15.5</v>
      </c>
      <c r="J22" s="11">
        <v>2</v>
      </c>
      <c r="K22" s="12">
        <v>13</v>
      </c>
      <c r="L22" s="9">
        <v>937864</v>
      </c>
      <c r="M22" s="11">
        <v>112506</v>
      </c>
      <c r="N22" s="13">
        <v>46143</v>
      </c>
      <c r="O22" s="39" t="s">
        <v>37</v>
      </c>
    </row>
    <row r="23" spans="1:15" ht="24.9" customHeight="1">
      <c r="A23" s="14">
        <v>21</v>
      </c>
      <c r="B23" s="14">
        <v>21</v>
      </c>
      <c r="C23" s="15" t="s">
        <v>318</v>
      </c>
      <c r="D23" s="16">
        <v>166</v>
      </c>
      <c r="E23" s="16">
        <v>140</v>
      </c>
      <c r="F23" s="10">
        <f>(D23-E23)/E23</f>
        <v>0.18571428571428572</v>
      </c>
      <c r="G23" s="18">
        <v>25</v>
      </c>
      <c r="H23" s="11"/>
      <c r="I23" s="11" t="s">
        <v>13</v>
      </c>
      <c r="J23" s="18">
        <v>2</v>
      </c>
      <c r="K23" s="19">
        <v>7</v>
      </c>
      <c r="L23" s="9">
        <v>16090</v>
      </c>
      <c r="M23" s="11">
        <v>2632</v>
      </c>
      <c r="N23" s="20">
        <v>46185</v>
      </c>
      <c r="O23" s="39" t="s">
        <v>44</v>
      </c>
    </row>
    <row r="24" spans="1:15" ht="24.9" customHeight="1">
      <c r="A24" s="14">
        <v>22</v>
      </c>
      <c r="B24" s="14">
        <v>22</v>
      </c>
      <c r="C24" s="8" t="s">
        <v>235</v>
      </c>
      <c r="D24" s="16">
        <v>159.30000000000001</v>
      </c>
      <c r="E24" s="16">
        <v>126.41</v>
      </c>
      <c r="F24" s="10">
        <f>(D24-E24)/E24</f>
        <v>0.26018511193734684</v>
      </c>
      <c r="G24" s="11">
        <v>28</v>
      </c>
      <c r="H24" s="11">
        <v>2</v>
      </c>
      <c r="I24" s="19">
        <f>G24/H24</f>
        <v>14</v>
      </c>
      <c r="J24" s="11">
        <v>2</v>
      </c>
      <c r="K24" s="12">
        <v>15</v>
      </c>
      <c r="L24" s="9">
        <v>202248.35</v>
      </c>
      <c r="M24" s="11">
        <v>27932</v>
      </c>
      <c r="N24" s="13">
        <v>46122</v>
      </c>
      <c r="O24" s="39" t="s">
        <v>47</v>
      </c>
    </row>
    <row r="25" spans="1:15" ht="24.9" customHeight="1">
      <c r="A25" s="14">
        <v>23</v>
      </c>
      <c r="B25" s="14">
        <v>19</v>
      </c>
      <c r="C25" s="15" t="s">
        <v>344</v>
      </c>
      <c r="D25" s="16">
        <v>111.99</v>
      </c>
      <c r="E25" s="16">
        <v>200.46</v>
      </c>
      <c r="F25" s="10">
        <f>(D25-E25)/E25</f>
        <v>-0.44133492966177795</v>
      </c>
      <c r="G25" s="18">
        <v>25</v>
      </c>
      <c r="H25" s="18">
        <v>1</v>
      </c>
      <c r="I25" s="19">
        <f>G25/H25</f>
        <v>25</v>
      </c>
      <c r="J25" s="18">
        <v>1</v>
      </c>
      <c r="K25" s="19">
        <v>4</v>
      </c>
      <c r="L25" s="16">
        <v>12922</v>
      </c>
      <c r="M25" s="18">
        <v>1643</v>
      </c>
      <c r="N25" s="13">
        <v>46206</v>
      </c>
      <c r="O25" s="39" t="s">
        <v>94</v>
      </c>
    </row>
    <row r="26" spans="1:15" ht="24.9" customHeight="1">
      <c r="A26" s="14">
        <v>24</v>
      </c>
      <c r="B26" s="19">
        <v>29</v>
      </c>
      <c r="C26" s="15" t="s">
        <v>328</v>
      </c>
      <c r="D26" s="16">
        <v>97</v>
      </c>
      <c r="E26" s="19" t="s">
        <v>13</v>
      </c>
      <c r="F26" s="19" t="s">
        <v>13</v>
      </c>
      <c r="G26" s="18">
        <v>16</v>
      </c>
      <c r="H26" s="18">
        <v>2</v>
      </c>
      <c r="I26" s="19" t="s">
        <v>13</v>
      </c>
      <c r="J26" s="18">
        <v>2</v>
      </c>
      <c r="K26" s="19">
        <v>6</v>
      </c>
      <c r="L26" s="9">
        <v>2954</v>
      </c>
      <c r="M26" s="11">
        <v>472</v>
      </c>
      <c r="N26" s="13">
        <v>46192</v>
      </c>
      <c r="O26" s="39" t="s">
        <v>43</v>
      </c>
    </row>
    <row r="27" spans="1:15" ht="24.9" customHeight="1">
      <c r="A27" s="14">
        <v>25</v>
      </c>
      <c r="B27" s="19" t="s">
        <v>13</v>
      </c>
      <c r="C27" s="8" t="s">
        <v>266</v>
      </c>
      <c r="D27" s="16">
        <v>57.8</v>
      </c>
      <c r="E27" s="19" t="s">
        <v>13</v>
      </c>
      <c r="F27" s="19" t="s">
        <v>13</v>
      </c>
      <c r="G27" s="18">
        <v>8</v>
      </c>
      <c r="H27" s="18">
        <v>1</v>
      </c>
      <c r="I27" s="19">
        <f>G27/H27</f>
        <v>8</v>
      </c>
      <c r="J27" s="18">
        <v>1</v>
      </c>
      <c r="K27" s="19">
        <v>11</v>
      </c>
      <c r="L27" s="9" t="s">
        <v>364</v>
      </c>
      <c r="M27" s="11">
        <v>819</v>
      </c>
      <c r="N27" s="20">
        <v>46150</v>
      </c>
      <c r="O27" s="40" t="s">
        <v>86</v>
      </c>
    </row>
    <row r="28" spans="1:15" ht="24.9" customHeight="1">
      <c r="A28" s="14">
        <v>26</v>
      </c>
      <c r="B28" s="14">
        <v>25</v>
      </c>
      <c r="C28" s="8" t="s">
        <v>224</v>
      </c>
      <c r="D28" s="16">
        <v>45</v>
      </c>
      <c r="E28" s="16">
        <v>102</v>
      </c>
      <c r="F28" s="10">
        <f>(D28-E28)/E28</f>
        <v>-0.55882352941176472</v>
      </c>
      <c r="G28" s="18">
        <v>11</v>
      </c>
      <c r="H28" s="18">
        <v>1</v>
      </c>
      <c r="I28" s="19">
        <f>G28/H28</f>
        <v>11</v>
      </c>
      <c r="J28" s="18">
        <v>1</v>
      </c>
      <c r="K28" s="19" t="s">
        <v>13</v>
      </c>
      <c r="L28" s="16" t="s">
        <v>363</v>
      </c>
      <c r="M28" s="18">
        <v>5384</v>
      </c>
      <c r="N28" s="13">
        <v>45919</v>
      </c>
      <c r="O28" s="39" t="s">
        <v>86</v>
      </c>
    </row>
    <row r="29" spans="1:15" ht="24.9" customHeight="1">
      <c r="A29" s="14">
        <v>27</v>
      </c>
      <c r="B29" s="14">
        <v>30</v>
      </c>
      <c r="C29" s="15" t="s">
        <v>78</v>
      </c>
      <c r="D29" s="16">
        <v>31.8</v>
      </c>
      <c r="E29" s="16">
        <v>31.95</v>
      </c>
      <c r="F29" s="10">
        <f>(D29-E29)/E29</f>
        <v>-4.6948356807511296E-3</v>
      </c>
      <c r="G29" s="18">
        <v>4</v>
      </c>
      <c r="H29" s="18">
        <v>1</v>
      </c>
      <c r="I29" s="19">
        <f>G29/H29</f>
        <v>4</v>
      </c>
      <c r="J29" s="18">
        <v>1</v>
      </c>
      <c r="K29" s="19" t="s">
        <v>13</v>
      </c>
      <c r="L29" s="9">
        <v>153286.54</v>
      </c>
      <c r="M29" s="11">
        <v>21233</v>
      </c>
      <c r="N29" s="20">
        <v>46038</v>
      </c>
      <c r="O29" s="40" t="s">
        <v>47</v>
      </c>
    </row>
    <row r="30" spans="1:15" ht="24.9" customHeight="1">
      <c r="A30" s="14">
        <v>28</v>
      </c>
      <c r="B30" s="19" t="s">
        <v>13</v>
      </c>
      <c r="C30" s="15" t="s">
        <v>270</v>
      </c>
      <c r="D30" s="16">
        <v>26.85</v>
      </c>
      <c r="E30" s="19" t="s">
        <v>13</v>
      </c>
      <c r="F30" s="19" t="s">
        <v>13</v>
      </c>
      <c r="G30" s="18">
        <v>3</v>
      </c>
      <c r="H30" s="18">
        <v>1</v>
      </c>
      <c r="I30" s="19">
        <f>G30/H30</f>
        <v>3</v>
      </c>
      <c r="J30" s="18">
        <v>1</v>
      </c>
      <c r="K30" s="19" t="s">
        <v>13</v>
      </c>
      <c r="L30" s="9">
        <v>36201.06</v>
      </c>
      <c r="M30" s="11">
        <v>5619</v>
      </c>
      <c r="N30" s="20">
        <v>45926</v>
      </c>
      <c r="O30" s="40" t="s">
        <v>47</v>
      </c>
    </row>
    <row r="31" spans="1:15" ht="24.75" customHeight="1">
      <c r="A31" s="59"/>
      <c r="B31" s="60" t="s">
        <v>14</v>
      </c>
      <c r="C31" s="29" t="s">
        <v>172</v>
      </c>
      <c r="D31" s="27">
        <f>SUBTOTAL(109,Table13245678910111213141516171819202122232425262728293031[Pajamos 
(GBO)])</f>
        <v>282231.63999999996</v>
      </c>
      <c r="E31" s="27">
        <f>SUBTOTAL(109,Table13245678910111213141516171819202122232425262728293031[Pajamos 
praeita sav.
(GBO LW)])</f>
        <v>298688.03000000003</v>
      </c>
      <c r="F31" s="62">
        <f>(D31-E31)/E31</f>
        <v>-5.5095579156620604E-2</v>
      </c>
      <c r="G31" s="34">
        <f>SUBTOTAL(109,Table13245678910111213141516171819202122232425262728293031[Žiūrovų sk. 
(ADM)])</f>
        <v>33446</v>
      </c>
      <c r="H31" s="63"/>
      <c r="I31" s="59"/>
      <c r="J31" s="63"/>
      <c r="K31" s="64"/>
      <c r="L31" s="65"/>
      <c r="M31" s="63"/>
      <c r="N31" s="66"/>
      <c r="O31" s="67"/>
    </row>
    <row r="32" spans="1:15"/>
    <row r="33"/>
    <row r="34" ht="9" customHeight="1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C40AA-026B-434C-8AEA-82D1E5675489}">
  <dimension ref="A1:XFC484"/>
  <sheetViews>
    <sheetView topLeftCell="A8" zoomScale="70" zoomScaleNormal="70" workbookViewId="0">
      <selection activeCell="O32" sqref="O32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355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1" t="s">
        <v>49</v>
      </c>
      <c r="C3" s="15" t="s">
        <v>357</v>
      </c>
      <c r="D3" s="16">
        <v>180052.26</v>
      </c>
      <c r="E3" s="11" t="s">
        <v>13</v>
      </c>
      <c r="F3" s="11" t="s">
        <v>13</v>
      </c>
      <c r="G3" s="18">
        <v>18680</v>
      </c>
      <c r="H3" s="18">
        <v>188</v>
      </c>
      <c r="I3" s="19">
        <f>G3/H3</f>
        <v>99.361702127659569</v>
      </c>
      <c r="J3" s="18">
        <v>19</v>
      </c>
      <c r="K3" s="19">
        <v>1</v>
      </c>
      <c r="L3" s="9">
        <v>180052</v>
      </c>
      <c r="M3" s="11">
        <v>18680</v>
      </c>
      <c r="N3" s="20">
        <v>46220</v>
      </c>
      <c r="O3" s="39" t="s">
        <v>207</v>
      </c>
    </row>
    <row r="4" spans="1:15" s="2" customFormat="1" ht="24.9" customHeight="1">
      <c r="A4" s="14">
        <v>2</v>
      </c>
      <c r="B4" s="14">
        <v>1</v>
      </c>
      <c r="C4" s="15" t="s">
        <v>343</v>
      </c>
      <c r="D4" s="16">
        <v>52150.82</v>
      </c>
      <c r="E4" s="16">
        <v>128164.58</v>
      </c>
      <c r="F4" s="10">
        <f t="shared" ref="F4:F9" si="0">(D4-E4)/E4</f>
        <v>-0.59309490968565581</v>
      </c>
      <c r="G4" s="18">
        <v>7916</v>
      </c>
      <c r="H4" s="18">
        <v>230</v>
      </c>
      <c r="I4" s="19">
        <f>G4/H4</f>
        <v>34.417391304347824</v>
      </c>
      <c r="J4" s="18">
        <v>27</v>
      </c>
      <c r="K4" s="19">
        <v>3</v>
      </c>
      <c r="L4" s="16">
        <v>693153</v>
      </c>
      <c r="M4" s="18">
        <v>103503</v>
      </c>
      <c r="N4" s="13">
        <v>46204</v>
      </c>
      <c r="O4" s="40" t="s">
        <v>207</v>
      </c>
    </row>
    <row r="5" spans="1:15" s="2" customFormat="1" ht="24.9" customHeight="1">
      <c r="A5" s="14">
        <v>3</v>
      </c>
      <c r="B5" s="14">
        <v>2</v>
      </c>
      <c r="C5" s="15" t="s">
        <v>351</v>
      </c>
      <c r="D5" s="16">
        <v>19115.87</v>
      </c>
      <c r="E5" s="16">
        <v>54142.81</v>
      </c>
      <c r="F5" s="10">
        <f t="shared" si="0"/>
        <v>-0.64693613057763355</v>
      </c>
      <c r="G5" s="18">
        <v>2991</v>
      </c>
      <c r="H5" s="18">
        <v>109</v>
      </c>
      <c r="I5" s="11" t="s">
        <v>13</v>
      </c>
      <c r="J5" s="18">
        <v>20</v>
      </c>
      <c r="K5" s="19">
        <v>2</v>
      </c>
      <c r="L5" s="16">
        <v>106177</v>
      </c>
      <c r="M5" s="18">
        <v>16605</v>
      </c>
      <c r="N5" s="20">
        <v>46213</v>
      </c>
      <c r="O5" s="40" t="s">
        <v>37</v>
      </c>
    </row>
    <row r="6" spans="1:15" s="2" customFormat="1" ht="24.9" customHeight="1">
      <c r="A6" s="14">
        <v>4</v>
      </c>
      <c r="B6" s="14">
        <v>5</v>
      </c>
      <c r="C6" s="15" t="s">
        <v>326</v>
      </c>
      <c r="D6" s="16">
        <v>11939.64</v>
      </c>
      <c r="E6" s="16">
        <v>22596.48</v>
      </c>
      <c r="F6" s="10">
        <f t="shared" si="0"/>
        <v>-0.47161504800747728</v>
      </c>
      <c r="G6" s="18">
        <v>1935</v>
      </c>
      <c r="H6" s="11">
        <v>84</v>
      </c>
      <c r="I6" s="12">
        <f t="shared" ref="I6:I22" si="1">G6/H6</f>
        <v>23.035714285714285</v>
      </c>
      <c r="J6" s="11">
        <v>16</v>
      </c>
      <c r="K6" s="12">
        <v>5</v>
      </c>
      <c r="L6" s="9">
        <v>322438</v>
      </c>
      <c r="M6" s="11">
        <v>53181</v>
      </c>
      <c r="N6" s="13">
        <v>46192</v>
      </c>
      <c r="O6" s="39" t="s">
        <v>37</v>
      </c>
    </row>
    <row r="7" spans="1:15" s="2" customFormat="1" ht="24.9" customHeight="1">
      <c r="A7" s="14">
        <v>5</v>
      </c>
      <c r="B7" s="14">
        <v>3</v>
      </c>
      <c r="C7" s="15" t="s">
        <v>321</v>
      </c>
      <c r="D7" s="16">
        <v>8663.57</v>
      </c>
      <c r="E7" s="16">
        <v>24452.82</v>
      </c>
      <c r="F7" s="10">
        <f t="shared" si="0"/>
        <v>-0.64570262243782106</v>
      </c>
      <c r="G7" s="18">
        <v>1070</v>
      </c>
      <c r="H7" s="18">
        <v>41</v>
      </c>
      <c r="I7" s="19">
        <f t="shared" si="1"/>
        <v>26.097560975609756</v>
      </c>
      <c r="J7" s="18">
        <v>8</v>
      </c>
      <c r="K7" s="19">
        <v>6</v>
      </c>
      <c r="L7" s="9">
        <v>365688</v>
      </c>
      <c r="M7" s="11">
        <v>46388</v>
      </c>
      <c r="N7" s="20">
        <v>46185</v>
      </c>
      <c r="O7" s="39" t="s">
        <v>94</v>
      </c>
    </row>
    <row r="8" spans="1:15" s="2" customFormat="1" ht="24.9" customHeight="1">
      <c r="A8" s="14">
        <v>6</v>
      </c>
      <c r="B8" s="14">
        <v>4</v>
      </c>
      <c r="C8" s="8" t="s">
        <v>346</v>
      </c>
      <c r="D8" s="16">
        <v>6771.76</v>
      </c>
      <c r="E8" s="16">
        <v>22702.959999999999</v>
      </c>
      <c r="F8" s="10">
        <f t="shared" si="0"/>
        <v>-0.70172347570537053</v>
      </c>
      <c r="G8" s="18">
        <v>827</v>
      </c>
      <c r="H8" s="18">
        <v>52</v>
      </c>
      <c r="I8" s="19">
        <f t="shared" si="1"/>
        <v>15.903846153846153</v>
      </c>
      <c r="J8" s="18">
        <v>9</v>
      </c>
      <c r="K8" s="19">
        <v>3</v>
      </c>
      <c r="L8" s="16">
        <v>95578.240000000005</v>
      </c>
      <c r="M8" s="18">
        <v>12036</v>
      </c>
      <c r="N8" s="13">
        <v>46206</v>
      </c>
      <c r="O8" s="39" t="s">
        <v>42</v>
      </c>
    </row>
    <row r="9" spans="1:15" s="2" customFormat="1" ht="24.9" customHeight="1">
      <c r="A9" s="14">
        <v>7</v>
      </c>
      <c r="B9" s="14">
        <v>6</v>
      </c>
      <c r="C9" s="8" t="s">
        <v>353</v>
      </c>
      <c r="D9" s="16">
        <v>4391.55</v>
      </c>
      <c r="E9" s="16">
        <v>16881.14</v>
      </c>
      <c r="F9" s="10">
        <f t="shared" si="0"/>
        <v>-0.7398546543657597</v>
      </c>
      <c r="G9" s="18">
        <v>520</v>
      </c>
      <c r="H9" s="18">
        <v>35</v>
      </c>
      <c r="I9" s="19">
        <f t="shared" si="1"/>
        <v>14.857142857142858</v>
      </c>
      <c r="J9" s="18">
        <v>9</v>
      </c>
      <c r="K9" s="19">
        <v>2</v>
      </c>
      <c r="L9" s="16">
        <v>31286.58</v>
      </c>
      <c r="M9" s="18">
        <v>3970</v>
      </c>
      <c r="N9" s="20">
        <v>46213</v>
      </c>
      <c r="O9" s="40" t="s">
        <v>39</v>
      </c>
    </row>
    <row r="10" spans="1:15" s="2" customFormat="1" ht="24.9" customHeight="1">
      <c r="A10" s="14">
        <v>8</v>
      </c>
      <c r="B10" s="11" t="s">
        <v>49</v>
      </c>
      <c r="C10" s="15" t="s">
        <v>356</v>
      </c>
      <c r="D10" s="16">
        <v>4362.49</v>
      </c>
      <c r="E10" s="11" t="s">
        <v>13</v>
      </c>
      <c r="F10" s="11" t="s">
        <v>13</v>
      </c>
      <c r="G10" s="18">
        <v>576</v>
      </c>
      <c r="H10" s="18">
        <v>38</v>
      </c>
      <c r="I10" s="19">
        <f t="shared" si="1"/>
        <v>15.157894736842104</v>
      </c>
      <c r="J10" s="18">
        <v>13</v>
      </c>
      <c r="K10" s="19">
        <v>1</v>
      </c>
      <c r="L10" s="9">
        <v>4362</v>
      </c>
      <c r="M10" s="11">
        <v>576</v>
      </c>
      <c r="N10" s="20">
        <v>46220</v>
      </c>
      <c r="O10" s="39" t="s">
        <v>94</v>
      </c>
    </row>
    <row r="11" spans="1:15" s="2" customFormat="1" ht="24.9" customHeight="1">
      <c r="A11" s="14">
        <v>9</v>
      </c>
      <c r="B11" s="14">
        <v>7</v>
      </c>
      <c r="C11" s="8" t="s">
        <v>251</v>
      </c>
      <c r="D11" s="16">
        <v>3846.99</v>
      </c>
      <c r="E11" s="16">
        <v>11198.18</v>
      </c>
      <c r="F11" s="10">
        <f>(D11-E11)/E11</f>
        <v>-0.6564629252253491</v>
      </c>
      <c r="G11" s="11">
        <v>502</v>
      </c>
      <c r="H11" s="11">
        <v>21</v>
      </c>
      <c r="I11" s="19">
        <f t="shared" si="1"/>
        <v>23.904761904761905</v>
      </c>
      <c r="J11" s="11">
        <v>7</v>
      </c>
      <c r="K11" s="12">
        <v>13</v>
      </c>
      <c r="L11" s="9">
        <v>685564</v>
      </c>
      <c r="M11" s="11">
        <v>90316</v>
      </c>
      <c r="N11" s="13">
        <v>46136</v>
      </c>
      <c r="O11" s="39" t="s">
        <v>207</v>
      </c>
    </row>
    <row r="12" spans="1:15" s="2" customFormat="1" ht="24.9" customHeight="1">
      <c r="A12" s="14">
        <v>10</v>
      </c>
      <c r="B12" s="14">
        <v>9</v>
      </c>
      <c r="C12" s="15" t="s">
        <v>309</v>
      </c>
      <c r="D12" s="16">
        <v>2411.2199999999998</v>
      </c>
      <c r="E12" s="16">
        <v>6244.12</v>
      </c>
      <c r="F12" s="10">
        <f>(D12-E12)/E12</f>
        <v>-0.61384150208516175</v>
      </c>
      <c r="G12" s="18">
        <v>290</v>
      </c>
      <c r="H12" s="18">
        <v>12</v>
      </c>
      <c r="I12" s="19">
        <f t="shared" si="1"/>
        <v>24.166666666666668</v>
      </c>
      <c r="J12" s="18">
        <v>4</v>
      </c>
      <c r="K12" s="19">
        <v>7</v>
      </c>
      <c r="L12" s="16">
        <v>291115</v>
      </c>
      <c r="M12" s="18">
        <v>35518</v>
      </c>
      <c r="N12" s="20">
        <v>46178</v>
      </c>
      <c r="O12" s="40" t="s">
        <v>310</v>
      </c>
    </row>
    <row r="13" spans="1:15" s="2" customFormat="1" ht="24.9" customHeight="1">
      <c r="A13" s="14">
        <v>11</v>
      </c>
      <c r="B13" s="14">
        <v>11</v>
      </c>
      <c r="C13" s="8" t="s">
        <v>263</v>
      </c>
      <c r="D13" s="16">
        <v>1488.8</v>
      </c>
      <c r="E13" s="16">
        <v>3649.74</v>
      </c>
      <c r="F13" s="10">
        <f>(D13-E13)/E13</f>
        <v>-0.5920805317639064</v>
      </c>
      <c r="G13" s="11">
        <v>209</v>
      </c>
      <c r="H13" s="11">
        <v>12</v>
      </c>
      <c r="I13" s="19">
        <f t="shared" si="1"/>
        <v>17.416666666666668</v>
      </c>
      <c r="J13" s="11">
        <v>6</v>
      </c>
      <c r="K13" s="12">
        <v>12</v>
      </c>
      <c r="L13" s="9">
        <v>935961</v>
      </c>
      <c r="M13" s="11">
        <v>112226</v>
      </c>
      <c r="N13" s="13">
        <v>46143</v>
      </c>
      <c r="O13" s="39" t="s">
        <v>37</v>
      </c>
    </row>
    <row r="14" spans="1:15" s="2" customFormat="1" ht="24.9" customHeight="1">
      <c r="A14" s="14">
        <v>12</v>
      </c>
      <c r="B14" s="14">
        <v>8</v>
      </c>
      <c r="C14" s="15" t="s">
        <v>294</v>
      </c>
      <c r="D14" s="16">
        <v>1297.19</v>
      </c>
      <c r="E14" s="16">
        <v>7215.73</v>
      </c>
      <c r="F14" s="10">
        <f>(D14-E14)/E14</f>
        <v>-0.82022747525198414</v>
      </c>
      <c r="G14" s="18">
        <v>153</v>
      </c>
      <c r="H14" s="18">
        <v>8</v>
      </c>
      <c r="I14" s="19">
        <f t="shared" si="1"/>
        <v>19.125</v>
      </c>
      <c r="J14" s="18">
        <v>4</v>
      </c>
      <c r="K14" s="19">
        <v>8</v>
      </c>
      <c r="L14" s="16">
        <v>301796.21000000002</v>
      </c>
      <c r="M14" s="18">
        <v>40172</v>
      </c>
      <c r="N14" s="20">
        <v>46171</v>
      </c>
      <c r="O14" s="40" t="s">
        <v>46</v>
      </c>
    </row>
    <row r="15" spans="1:15" s="1" customFormat="1" ht="24.9" customHeight="1">
      <c r="A15" s="14">
        <v>13</v>
      </c>
      <c r="B15" s="11" t="s">
        <v>13</v>
      </c>
      <c r="C15" s="8" t="s">
        <v>358</v>
      </c>
      <c r="D15" s="16">
        <v>1006</v>
      </c>
      <c r="E15" s="11" t="s">
        <v>13</v>
      </c>
      <c r="F15" s="11" t="s">
        <v>13</v>
      </c>
      <c r="G15" s="18">
        <v>134</v>
      </c>
      <c r="H15" s="18">
        <v>1</v>
      </c>
      <c r="I15" s="19">
        <f t="shared" si="1"/>
        <v>134</v>
      </c>
      <c r="J15" s="18">
        <v>1</v>
      </c>
      <c r="K15" s="11" t="s">
        <v>13</v>
      </c>
      <c r="L15" s="9">
        <v>50978.21</v>
      </c>
      <c r="M15" s="11">
        <v>7198</v>
      </c>
      <c r="N15" s="13">
        <v>46104</v>
      </c>
      <c r="O15" s="39" t="s">
        <v>47</v>
      </c>
    </row>
    <row r="16" spans="1:15" ht="24.9" customHeight="1">
      <c r="A16" s="14">
        <v>14</v>
      </c>
      <c r="B16" s="14">
        <v>10</v>
      </c>
      <c r="C16" s="15" t="s">
        <v>322</v>
      </c>
      <c r="D16" s="16">
        <v>871.65</v>
      </c>
      <c r="E16" s="16">
        <v>4657.58</v>
      </c>
      <c r="F16" s="10">
        <f>(D16-E16)/E16</f>
        <v>-0.81285345608663728</v>
      </c>
      <c r="G16" s="18">
        <v>95</v>
      </c>
      <c r="H16" s="18">
        <v>11</v>
      </c>
      <c r="I16" s="19">
        <f t="shared" si="1"/>
        <v>8.6363636363636367</v>
      </c>
      <c r="J16" s="18">
        <v>3</v>
      </c>
      <c r="K16" s="19">
        <v>6</v>
      </c>
      <c r="L16" s="9">
        <v>137238</v>
      </c>
      <c r="M16" s="11">
        <v>17612</v>
      </c>
      <c r="N16" s="20">
        <v>46183</v>
      </c>
      <c r="O16" s="39" t="s">
        <v>207</v>
      </c>
    </row>
    <row r="17" spans="1:15" ht="24.9" customHeight="1">
      <c r="A17" s="14">
        <v>15</v>
      </c>
      <c r="B17" s="11" t="s">
        <v>13</v>
      </c>
      <c r="C17" s="15" t="s">
        <v>214</v>
      </c>
      <c r="D17" s="16">
        <v>510</v>
      </c>
      <c r="E17" s="11" t="s">
        <v>13</v>
      </c>
      <c r="F17" s="11" t="s">
        <v>13</v>
      </c>
      <c r="G17" s="18">
        <v>214</v>
      </c>
      <c r="H17" s="18">
        <v>12</v>
      </c>
      <c r="I17" s="19">
        <f t="shared" si="1"/>
        <v>17.833333333333332</v>
      </c>
      <c r="J17" s="18">
        <v>4</v>
      </c>
      <c r="K17" s="11" t="s">
        <v>13</v>
      </c>
      <c r="L17" s="9">
        <v>33037.120000000003</v>
      </c>
      <c r="M17" s="11">
        <v>7477</v>
      </c>
      <c r="N17" s="20">
        <v>45794</v>
      </c>
      <c r="O17" s="40" t="s">
        <v>42</v>
      </c>
    </row>
    <row r="18" spans="1:15" ht="24.9" customHeight="1">
      <c r="A18" s="14">
        <v>16</v>
      </c>
      <c r="B18" s="14">
        <v>12</v>
      </c>
      <c r="C18" s="15" t="s">
        <v>337</v>
      </c>
      <c r="D18" s="16">
        <v>433</v>
      </c>
      <c r="E18" s="16">
        <v>3006.4</v>
      </c>
      <c r="F18" s="10">
        <f>(D18-E18)/E18</f>
        <v>-0.8559739222990953</v>
      </c>
      <c r="G18" s="18">
        <v>52</v>
      </c>
      <c r="H18" s="18">
        <v>2</v>
      </c>
      <c r="I18" s="19">
        <f t="shared" si="1"/>
        <v>26</v>
      </c>
      <c r="J18" s="18">
        <v>1</v>
      </c>
      <c r="K18" s="11">
        <v>4</v>
      </c>
      <c r="L18" s="16">
        <v>33215</v>
      </c>
      <c r="M18" s="18">
        <v>4289</v>
      </c>
      <c r="N18" s="20">
        <v>46199</v>
      </c>
      <c r="O18" s="40" t="s">
        <v>310</v>
      </c>
    </row>
    <row r="19" spans="1:15" ht="24.9" customHeight="1">
      <c r="A19" s="14">
        <v>17</v>
      </c>
      <c r="B19" s="11" t="s">
        <v>13</v>
      </c>
      <c r="C19" s="77" t="s">
        <v>215</v>
      </c>
      <c r="D19" s="16">
        <v>354</v>
      </c>
      <c r="E19" s="11" t="s">
        <v>13</v>
      </c>
      <c r="F19" s="11" t="s">
        <v>13</v>
      </c>
      <c r="G19" s="18">
        <v>148</v>
      </c>
      <c r="H19" s="18">
        <v>12</v>
      </c>
      <c r="I19" s="19">
        <f t="shared" si="1"/>
        <v>12.333333333333334</v>
      </c>
      <c r="J19" s="18">
        <v>4</v>
      </c>
      <c r="K19" s="11" t="s">
        <v>13</v>
      </c>
      <c r="L19" s="9">
        <v>35315.89</v>
      </c>
      <c r="M19" s="11">
        <v>7281</v>
      </c>
      <c r="N19" s="20">
        <v>45814</v>
      </c>
      <c r="O19" s="40" t="s">
        <v>42</v>
      </c>
    </row>
    <row r="20" spans="1:15" ht="24.9" customHeight="1">
      <c r="A20" s="14">
        <v>18</v>
      </c>
      <c r="B20" s="11" t="s">
        <v>13</v>
      </c>
      <c r="C20" s="77" t="s">
        <v>135</v>
      </c>
      <c r="D20" s="16">
        <v>290.39999999999998</v>
      </c>
      <c r="E20" s="11" t="s">
        <v>13</v>
      </c>
      <c r="F20" s="11" t="s">
        <v>13</v>
      </c>
      <c r="G20" s="18">
        <v>60</v>
      </c>
      <c r="H20" s="18">
        <v>1</v>
      </c>
      <c r="I20" s="19">
        <f t="shared" si="1"/>
        <v>60</v>
      </c>
      <c r="J20" s="18">
        <v>1</v>
      </c>
      <c r="K20" s="11" t="s">
        <v>13</v>
      </c>
      <c r="L20" s="9">
        <v>73404.75</v>
      </c>
      <c r="M20" s="11">
        <v>12669</v>
      </c>
      <c r="N20" s="20">
        <v>46066</v>
      </c>
      <c r="O20" s="40" t="s">
        <v>46</v>
      </c>
    </row>
    <row r="21" spans="1:15" ht="24.9" customHeight="1">
      <c r="A21" s="14">
        <v>19</v>
      </c>
      <c r="B21" s="14">
        <v>18</v>
      </c>
      <c r="C21" s="15" t="s">
        <v>344</v>
      </c>
      <c r="D21" s="16">
        <v>200.46</v>
      </c>
      <c r="E21" s="16">
        <v>307.64999999999998</v>
      </c>
      <c r="F21" s="10">
        <f>(D21-E21)/E21</f>
        <v>-0.34841540711847874</v>
      </c>
      <c r="G21" s="18">
        <v>42</v>
      </c>
      <c r="H21" s="18">
        <v>4</v>
      </c>
      <c r="I21" s="19">
        <f t="shared" si="1"/>
        <v>10.5</v>
      </c>
      <c r="J21" s="18">
        <v>3</v>
      </c>
      <c r="K21" s="19">
        <v>3</v>
      </c>
      <c r="L21" s="16">
        <v>12550</v>
      </c>
      <c r="M21" s="18">
        <v>1566</v>
      </c>
      <c r="N21" s="13">
        <v>46206</v>
      </c>
      <c r="O21" s="39" t="s">
        <v>94</v>
      </c>
    </row>
    <row r="22" spans="1:15" s="86" customFormat="1" ht="24.9" customHeight="1">
      <c r="A22" s="14">
        <v>20</v>
      </c>
      <c r="B22" s="11" t="s">
        <v>13</v>
      </c>
      <c r="C22" s="77" t="s">
        <v>91</v>
      </c>
      <c r="D22" s="16">
        <v>181.57</v>
      </c>
      <c r="E22" s="11" t="s">
        <v>13</v>
      </c>
      <c r="F22" s="11" t="s">
        <v>13</v>
      </c>
      <c r="G22" s="18">
        <v>35</v>
      </c>
      <c r="H22" s="18">
        <v>1</v>
      </c>
      <c r="I22" s="19">
        <f t="shared" si="1"/>
        <v>35</v>
      </c>
      <c r="J22" s="18">
        <v>1</v>
      </c>
      <c r="K22" s="11" t="s">
        <v>13</v>
      </c>
      <c r="L22" s="9">
        <v>91246.22</v>
      </c>
      <c r="M22" s="11">
        <v>19000</v>
      </c>
      <c r="N22" s="20">
        <v>44855</v>
      </c>
      <c r="O22" s="39" t="s">
        <v>42</v>
      </c>
    </row>
    <row r="23" spans="1:15" s="86" customFormat="1" ht="24.9" customHeight="1">
      <c r="A23" s="14">
        <v>21</v>
      </c>
      <c r="B23" s="14">
        <v>14</v>
      </c>
      <c r="C23" s="15" t="s">
        <v>318</v>
      </c>
      <c r="D23" s="16">
        <v>140</v>
      </c>
      <c r="E23" s="16">
        <v>538</v>
      </c>
      <c r="F23" s="10">
        <f>(D23-E23)/E23</f>
        <v>-0.7397769516728625</v>
      </c>
      <c r="G23" s="18">
        <v>23</v>
      </c>
      <c r="H23" s="11" t="s">
        <v>13</v>
      </c>
      <c r="I23" s="11" t="s">
        <v>13</v>
      </c>
      <c r="J23" s="18">
        <v>2</v>
      </c>
      <c r="K23" s="19">
        <v>6</v>
      </c>
      <c r="L23" s="9">
        <v>15875</v>
      </c>
      <c r="M23" s="11">
        <v>2600</v>
      </c>
      <c r="N23" s="20">
        <v>46185</v>
      </c>
      <c r="O23" s="39" t="s">
        <v>44</v>
      </c>
    </row>
    <row r="24" spans="1:15" s="86" customFormat="1" ht="24.9" customHeight="1">
      <c r="A24" s="14">
        <v>22</v>
      </c>
      <c r="B24" s="14">
        <v>16</v>
      </c>
      <c r="C24" s="8" t="s">
        <v>235</v>
      </c>
      <c r="D24" s="16">
        <v>126.41</v>
      </c>
      <c r="E24" s="16">
        <v>419.85</v>
      </c>
      <c r="F24" s="10">
        <f>(D24-E24)/E24</f>
        <v>-0.6989162796236752</v>
      </c>
      <c r="G24" s="11">
        <v>13</v>
      </c>
      <c r="H24" s="11">
        <v>3</v>
      </c>
      <c r="I24" s="19">
        <f>G24/H24</f>
        <v>4.333333333333333</v>
      </c>
      <c r="J24" s="11">
        <v>1</v>
      </c>
      <c r="K24" s="12">
        <v>14</v>
      </c>
      <c r="L24" s="9">
        <v>201777.4</v>
      </c>
      <c r="M24" s="11">
        <v>27855</v>
      </c>
      <c r="N24" s="13">
        <v>46122</v>
      </c>
      <c r="O24" s="39" t="s">
        <v>47</v>
      </c>
    </row>
    <row r="25" spans="1:15" s="86" customFormat="1" ht="24.9" customHeight="1">
      <c r="A25" s="14">
        <v>23</v>
      </c>
      <c r="B25" s="14">
        <v>28</v>
      </c>
      <c r="C25" s="8" t="s">
        <v>290</v>
      </c>
      <c r="D25" s="16">
        <v>116.6</v>
      </c>
      <c r="E25" s="16">
        <v>130</v>
      </c>
      <c r="F25" s="10">
        <f>(D25-E25)/E25</f>
        <v>-0.10307692307692312</v>
      </c>
      <c r="G25" s="11">
        <v>19</v>
      </c>
      <c r="H25" s="11">
        <v>3</v>
      </c>
      <c r="I25" s="19">
        <f>G25/H25</f>
        <v>6.333333333333333</v>
      </c>
      <c r="J25" s="11">
        <v>1</v>
      </c>
      <c r="K25" s="12">
        <v>8</v>
      </c>
      <c r="L25" s="9">
        <v>92502.45</v>
      </c>
      <c r="M25" s="11">
        <v>17694</v>
      </c>
      <c r="N25" s="13">
        <v>46171</v>
      </c>
      <c r="O25" s="39" t="s">
        <v>42</v>
      </c>
    </row>
    <row r="26" spans="1:15" s="86" customFormat="1" ht="24.9" customHeight="1">
      <c r="A26" s="14">
        <v>24</v>
      </c>
      <c r="B26" s="14">
        <v>24</v>
      </c>
      <c r="C26" s="15" t="s">
        <v>342</v>
      </c>
      <c r="D26" s="16">
        <v>113</v>
      </c>
      <c r="E26" s="16">
        <v>190</v>
      </c>
      <c r="F26" s="10">
        <f>(D26-E26)/E26</f>
        <v>-0.40526315789473683</v>
      </c>
      <c r="G26" s="18">
        <v>11</v>
      </c>
      <c r="H26" s="11" t="s">
        <v>13</v>
      </c>
      <c r="I26" s="11" t="s">
        <v>13</v>
      </c>
      <c r="J26" s="18">
        <v>1</v>
      </c>
      <c r="K26" s="19">
        <v>4</v>
      </c>
      <c r="L26" s="16">
        <v>15894</v>
      </c>
      <c r="M26" s="18">
        <v>2187</v>
      </c>
      <c r="N26" s="20">
        <v>46199</v>
      </c>
      <c r="O26" s="39" t="s">
        <v>44</v>
      </c>
    </row>
    <row r="27" spans="1:15" ht="24.9" customHeight="1">
      <c r="A27" s="14">
        <v>25</v>
      </c>
      <c r="B27" s="11" t="s">
        <v>13</v>
      </c>
      <c r="C27" s="8" t="s">
        <v>224</v>
      </c>
      <c r="D27" s="16">
        <v>102</v>
      </c>
      <c r="E27" s="11" t="s">
        <v>13</v>
      </c>
      <c r="F27" s="11" t="s">
        <v>13</v>
      </c>
      <c r="G27" s="18">
        <v>25</v>
      </c>
      <c r="H27" s="18">
        <v>1</v>
      </c>
      <c r="I27" s="19">
        <f t="shared" ref="I27:I33" si="2">G27/H27</f>
        <v>25</v>
      </c>
      <c r="J27" s="18">
        <v>1</v>
      </c>
      <c r="K27" s="19" t="s">
        <v>13</v>
      </c>
      <c r="L27" s="16" t="s">
        <v>360</v>
      </c>
      <c r="M27" s="18">
        <v>5357</v>
      </c>
      <c r="N27" s="13">
        <v>45919</v>
      </c>
      <c r="O27" s="39" t="s">
        <v>86</v>
      </c>
    </row>
    <row r="28" spans="1:15" ht="24.9" customHeight="1">
      <c r="A28" s="14">
        <v>26</v>
      </c>
      <c r="B28" s="14">
        <v>32</v>
      </c>
      <c r="C28" s="15" t="s">
        <v>329</v>
      </c>
      <c r="D28" s="16">
        <v>70</v>
      </c>
      <c r="E28" s="16">
        <v>28</v>
      </c>
      <c r="F28" s="10">
        <f>(D28-E28)/E28</f>
        <v>1.5</v>
      </c>
      <c r="G28" s="18">
        <v>10</v>
      </c>
      <c r="H28" s="11">
        <v>2</v>
      </c>
      <c r="I28" s="12">
        <f t="shared" si="2"/>
        <v>5</v>
      </c>
      <c r="J28" s="11">
        <v>1</v>
      </c>
      <c r="K28" s="11">
        <v>5</v>
      </c>
      <c r="L28" s="16">
        <v>4861.22</v>
      </c>
      <c r="M28" s="18">
        <v>714</v>
      </c>
      <c r="N28" s="20">
        <v>46192</v>
      </c>
      <c r="O28" s="40" t="s">
        <v>46</v>
      </c>
    </row>
    <row r="29" spans="1:15" s="86" customFormat="1" ht="24.9" customHeight="1">
      <c r="A29" s="14">
        <v>27</v>
      </c>
      <c r="B29" s="11" t="s">
        <v>13</v>
      </c>
      <c r="C29" s="8" t="s">
        <v>359</v>
      </c>
      <c r="D29" s="16">
        <v>51.05</v>
      </c>
      <c r="E29" s="11" t="s">
        <v>13</v>
      </c>
      <c r="F29" s="11" t="s">
        <v>13</v>
      </c>
      <c r="G29" s="18">
        <v>6</v>
      </c>
      <c r="H29" s="18">
        <v>1</v>
      </c>
      <c r="I29" s="19">
        <f t="shared" si="2"/>
        <v>6</v>
      </c>
      <c r="J29" s="18">
        <v>1</v>
      </c>
      <c r="K29" s="11" t="s">
        <v>13</v>
      </c>
      <c r="L29" s="9">
        <v>32463.79</v>
      </c>
      <c r="M29" s="11">
        <v>4429</v>
      </c>
      <c r="N29" s="87">
        <v>46104</v>
      </c>
      <c r="O29" s="39" t="s">
        <v>47</v>
      </c>
    </row>
    <row r="30" spans="1:15" s="86" customFormat="1" ht="24.9" customHeight="1">
      <c r="A30" s="14">
        <v>28</v>
      </c>
      <c r="B30" s="14">
        <v>29</v>
      </c>
      <c r="C30" s="8" t="s">
        <v>257</v>
      </c>
      <c r="D30" s="16">
        <v>45</v>
      </c>
      <c r="E30" s="16">
        <v>115</v>
      </c>
      <c r="F30" s="10">
        <f>(D30-E30)/E30</f>
        <v>-0.60869565217391308</v>
      </c>
      <c r="G30" s="18">
        <v>9</v>
      </c>
      <c r="H30" s="18">
        <v>2</v>
      </c>
      <c r="I30" s="19">
        <f t="shared" si="2"/>
        <v>4.5</v>
      </c>
      <c r="J30" s="18">
        <v>1</v>
      </c>
      <c r="K30" s="11" t="s">
        <v>13</v>
      </c>
      <c r="L30" s="16">
        <v>19736.060000000001</v>
      </c>
      <c r="M30" s="18">
        <v>3945</v>
      </c>
      <c r="N30" s="20">
        <v>46143</v>
      </c>
      <c r="O30" s="40" t="s">
        <v>46</v>
      </c>
    </row>
    <row r="31" spans="1:15" s="86" customFormat="1" ht="24.9" customHeight="1">
      <c r="A31" s="7">
        <v>29</v>
      </c>
      <c r="B31" s="12">
        <v>18</v>
      </c>
      <c r="C31" s="8" t="s">
        <v>328</v>
      </c>
      <c r="D31" s="16">
        <v>43</v>
      </c>
      <c r="E31" s="16">
        <v>400.7</v>
      </c>
      <c r="F31" s="10">
        <f>(D31-E31)/E31</f>
        <v>-0.8926877963563763</v>
      </c>
      <c r="G31" s="18">
        <v>4</v>
      </c>
      <c r="H31" s="18">
        <v>2</v>
      </c>
      <c r="I31" s="19">
        <f t="shared" si="2"/>
        <v>2</v>
      </c>
      <c r="J31" s="11" t="s">
        <v>13</v>
      </c>
      <c r="K31" s="19">
        <v>5</v>
      </c>
      <c r="L31" s="9">
        <v>2856</v>
      </c>
      <c r="M31" s="11">
        <v>456</v>
      </c>
      <c r="N31" s="13">
        <v>46192</v>
      </c>
      <c r="O31" s="39" t="s">
        <v>43</v>
      </c>
    </row>
    <row r="32" spans="1:15" ht="24.9" customHeight="1">
      <c r="A32" s="7">
        <v>30</v>
      </c>
      <c r="B32" s="11" t="s">
        <v>13</v>
      </c>
      <c r="C32" s="8" t="s">
        <v>78</v>
      </c>
      <c r="D32" s="16">
        <v>31.95</v>
      </c>
      <c r="E32" s="11" t="s">
        <v>13</v>
      </c>
      <c r="F32" s="11" t="s">
        <v>13</v>
      </c>
      <c r="G32" s="18">
        <v>3</v>
      </c>
      <c r="H32" s="18">
        <v>1</v>
      </c>
      <c r="I32" s="19">
        <f t="shared" si="2"/>
        <v>3</v>
      </c>
      <c r="J32" s="18">
        <v>1</v>
      </c>
      <c r="K32" s="11" t="s">
        <v>13</v>
      </c>
      <c r="L32" s="9">
        <v>153254.74</v>
      </c>
      <c r="M32" s="11">
        <v>21229</v>
      </c>
      <c r="N32" s="20">
        <v>46038</v>
      </c>
      <c r="O32" s="40" t="s">
        <v>47</v>
      </c>
    </row>
    <row r="33" spans="1:15" ht="24.9" customHeight="1">
      <c r="A33" s="7">
        <v>31</v>
      </c>
      <c r="B33" s="11" t="s">
        <v>13</v>
      </c>
      <c r="C33" s="8" t="s">
        <v>29</v>
      </c>
      <c r="D33" s="16">
        <v>10</v>
      </c>
      <c r="E33" s="11" t="s">
        <v>13</v>
      </c>
      <c r="F33" s="11" t="s">
        <v>13</v>
      </c>
      <c r="G33" s="18">
        <v>2</v>
      </c>
      <c r="H33" s="18">
        <v>1</v>
      </c>
      <c r="I33" s="19">
        <f t="shared" si="2"/>
        <v>2</v>
      </c>
      <c r="J33" s="18">
        <v>1</v>
      </c>
      <c r="K33" s="11" t="s">
        <v>13</v>
      </c>
      <c r="L33" s="9">
        <v>32974.129999999997</v>
      </c>
      <c r="M33" s="11">
        <v>5831</v>
      </c>
      <c r="N33" s="20">
        <v>46024</v>
      </c>
      <c r="O33" s="39" t="s">
        <v>46</v>
      </c>
    </row>
    <row r="34" spans="1:15" ht="24.75" customHeight="1">
      <c r="A34" s="59"/>
      <c r="B34" s="60" t="s">
        <v>14</v>
      </c>
      <c r="C34" s="61" t="s">
        <v>62</v>
      </c>
      <c r="D34" s="27">
        <f>SUBTOTAL(109,Table132456789101112131415161718192021222324252627282930[Pajamos 
(GBO)])</f>
        <v>301188.25</v>
      </c>
      <c r="E34" s="27">
        <f>SUBTOTAL(109,Table132456789101112131415161718192021222324252627282930[Pajamos 
praeita sav.
(GBO LW)])</f>
        <v>307041.74000000005</v>
      </c>
      <c r="F34" s="62">
        <f>(D34-E34)/E34</f>
        <v>-1.9064150691694388E-2</v>
      </c>
      <c r="G34" s="34">
        <f>SUBTOTAL(109,Table132456789101112131415161718192021222324252627282930[Žiūrovų sk. 
(ADM)])</f>
        <v>36574</v>
      </c>
      <c r="H34" s="63"/>
      <c r="I34" s="59"/>
      <c r="J34" s="63"/>
      <c r="K34" s="64"/>
      <c r="L34" s="65"/>
      <c r="M34" s="63"/>
      <c r="N34" s="66"/>
      <c r="O34" s="67"/>
    </row>
    <row r="35" spans="1:15"/>
    <row r="36" spans="1:15"/>
    <row r="37" spans="1:15" ht="9" customHeight="1"/>
    <row r="38" spans="1:15"/>
    <row r="39" spans="1:15"/>
    <row r="40" spans="1:15"/>
    <row r="41" spans="1:15"/>
    <row r="42" spans="1:15"/>
    <row r="43" spans="1:15"/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AC21A-7CF5-42C4-A7B4-2C58727A52F7}">
  <dimension ref="A1:XFC462"/>
  <sheetViews>
    <sheetView topLeftCell="A8" zoomScale="70" zoomScaleNormal="70" workbookViewId="0">
      <selection activeCell="O15" sqref="O15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350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4">
        <v>1</v>
      </c>
      <c r="C3" s="15" t="s">
        <v>343</v>
      </c>
      <c r="D3" s="16">
        <v>128164.58</v>
      </c>
      <c r="E3" s="16">
        <v>195214.69</v>
      </c>
      <c r="F3" s="10">
        <f>(D3-E3)/E3</f>
        <v>-0.34346856786238783</v>
      </c>
      <c r="G3" s="18">
        <v>18118</v>
      </c>
      <c r="H3" s="18">
        <v>281</v>
      </c>
      <c r="I3" s="19">
        <f>G3/H3</f>
        <v>64.47686832740213</v>
      </c>
      <c r="J3" s="18">
        <v>33</v>
      </c>
      <c r="K3" s="19">
        <v>2</v>
      </c>
      <c r="L3" s="16">
        <v>580096</v>
      </c>
      <c r="M3" s="18">
        <v>85719</v>
      </c>
      <c r="N3" s="13">
        <v>46204</v>
      </c>
      <c r="O3" s="40" t="s">
        <v>207</v>
      </c>
    </row>
    <row r="4" spans="1:15" s="2" customFormat="1" ht="24.9" customHeight="1">
      <c r="A4" s="14">
        <v>2</v>
      </c>
      <c r="B4" s="18" t="s">
        <v>49</v>
      </c>
      <c r="C4" s="15" t="s">
        <v>351</v>
      </c>
      <c r="D4" s="16">
        <v>54142.81</v>
      </c>
      <c r="E4" s="11" t="s">
        <v>13</v>
      </c>
      <c r="F4" s="11" t="s">
        <v>13</v>
      </c>
      <c r="G4" s="18">
        <v>8188</v>
      </c>
      <c r="H4" s="18">
        <v>164</v>
      </c>
      <c r="I4" s="11" t="s">
        <v>13</v>
      </c>
      <c r="J4" s="18">
        <v>26</v>
      </c>
      <c r="K4" s="19">
        <v>1</v>
      </c>
      <c r="L4" s="16">
        <v>64202</v>
      </c>
      <c r="M4" s="18">
        <v>9298</v>
      </c>
      <c r="N4" s="20">
        <v>46213</v>
      </c>
      <c r="O4" s="40" t="s">
        <v>37</v>
      </c>
    </row>
    <row r="5" spans="1:15" s="2" customFormat="1" ht="24.9" customHeight="1">
      <c r="A5" s="14">
        <v>3</v>
      </c>
      <c r="B5" s="14">
        <v>3</v>
      </c>
      <c r="C5" s="15" t="s">
        <v>321</v>
      </c>
      <c r="D5" s="16">
        <v>24452.82</v>
      </c>
      <c r="E5" s="16">
        <v>35398.910000000003</v>
      </c>
      <c r="F5" s="10">
        <f>(D5-E5)/E5</f>
        <v>-0.30922110313566159</v>
      </c>
      <c r="G5" s="18">
        <v>2882</v>
      </c>
      <c r="H5" s="18">
        <v>66</v>
      </c>
      <c r="I5" s="19">
        <f t="shared" ref="I5:I15" si="0">G5/H5</f>
        <v>43.666666666666664</v>
      </c>
      <c r="J5" s="18">
        <v>11</v>
      </c>
      <c r="K5" s="19">
        <v>5</v>
      </c>
      <c r="L5" s="9">
        <v>344322</v>
      </c>
      <c r="M5" s="11">
        <v>43501</v>
      </c>
      <c r="N5" s="20">
        <v>46185</v>
      </c>
      <c r="O5" s="39" t="s">
        <v>94</v>
      </c>
    </row>
    <row r="6" spans="1:15" s="2" customFormat="1" ht="24.9" customHeight="1">
      <c r="A6" s="14">
        <v>4</v>
      </c>
      <c r="B6" s="14">
        <v>4</v>
      </c>
      <c r="C6" s="8" t="s">
        <v>346</v>
      </c>
      <c r="D6" s="16">
        <v>22702.959999999999</v>
      </c>
      <c r="E6" s="16">
        <v>28018.560000000001</v>
      </c>
      <c r="F6" s="10">
        <f>(D6-E6)/E6</f>
        <v>-0.18971710180680243</v>
      </c>
      <c r="G6" s="18">
        <v>2828</v>
      </c>
      <c r="H6" s="18">
        <v>78</v>
      </c>
      <c r="I6" s="19">
        <f t="shared" si="0"/>
        <v>36.256410256410255</v>
      </c>
      <c r="J6" s="18">
        <v>13</v>
      </c>
      <c r="K6" s="19">
        <v>2</v>
      </c>
      <c r="L6" s="16">
        <v>79018.87</v>
      </c>
      <c r="M6" s="18">
        <v>9635</v>
      </c>
      <c r="N6" s="13">
        <v>46206</v>
      </c>
      <c r="O6" s="39" t="s">
        <v>42</v>
      </c>
    </row>
    <row r="7" spans="1:15" s="2" customFormat="1" ht="24.9" customHeight="1">
      <c r="A7" s="14">
        <v>5</v>
      </c>
      <c r="B7" s="14">
        <v>2</v>
      </c>
      <c r="C7" s="15" t="s">
        <v>326</v>
      </c>
      <c r="D7" s="16">
        <v>22596.48</v>
      </c>
      <c r="E7" s="16">
        <v>35502.120000000003</v>
      </c>
      <c r="F7" s="10">
        <f>(D7-E7)/E7</f>
        <v>-0.36351744628208127</v>
      </c>
      <c r="G7" s="18">
        <v>3584</v>
      </c>
      <c r="H7" s="11">
        <v>99</v>
      </c>
      <c r="I7" s="12">
        <f t="shared" si="0"/>
        <v>36.202020202020201</v>
      </c>
      <c r="J7" s="11">
        <v>15</v>
      </c>
      <c r="K7" s="12">
        <v>4</v>
      </c>
      <c r="L7" s="9">
        <v>298911</v>
      </c>
      <c r="M7" s="11">
        <v>49106</v>
      </c>
      <c r="N7" s="13">
        <v>46192</v>
      </c>
      <c r="O7" s="39" t="s">
        <v>37</v>
      </c>
    </row>
    <row r="8" spans="1:15" s="2" customFormat="1" ht="24.9" customHeight="1">
      <c r="A8" s="14">
        <v>6</v>
      </c>
      <c r="B8" s="11" t="s">
        <v>49</v>
      </c>
      <c r="C8" s="8" t="s">
        <v>353</v>
      </c>
      <c r="D8" s="16">
        <v>16881.14</v>
      </c>
      <c r="E8" s="11" t="s">
        <v>13</v>
      </c>
      <c r="F8" s="11" t="s">
        <v>13</v>
      </c>
      <c r="G8" s="18">
        <v>1977</v>
      </c>
      <c r="H8" s="18">
        <v>81</v>
      </c>
      <c r="I8" s="19">
        <f t="shared" si="0"/>
        <v>24.407407407407408</v>
      </c>
      <c r="J8" s="18">
        <v>14</v>
      </c>
      <c r="K8" s="19">
        <v>1</v>
      </c>
      <c r="L8" s="16">
        <v>19614</v>
      </c>
      <c r="M8" s="18">
        <v>2346</v>
      </c>
      <c r="N8" s="20">
        <v>46213</v>
      </c>
      <c r="O8" s="40" t="s">
        <v>39</v>
      </c>
    </row>
    <row r="9" spans="1:15" s="2" customFormat="1" ht="24.9" customHeight="1">
      <c r="A9" s="14">
        <v>7</v>
      </c>
      <c r="B9" s="14">
        <v>5</v>
      </c>
      <c r="C9" s="8" t="s">
        <v>251</v>
      </c>
      <c r="D9" s="16">
        <v>11198.18</v>
      </c>
      <c r="E9" s="16">
        <v>12153.4</v>
      </c>
      <c r="F9" s="10">
        <f t="shared" ref="F9:F18" si="1">(D9-E9)/E9</f>
        <v>-7.8596935836885096E-2</v>
      </c>
      <c r="G9" s="11">
        <v>1414</v>
      </c>
      <c r="H9" s="11">
        <v>35</v>
      </c>
      <c r="I9" s="19">
        <f t="shared" si="0"/>
        <v>40.4</v>
      </c>
      <c r="J9" s="11">
        <v>11</v>
      </c>
      <c r="K9" s="12">
        <v>12</v>
      </c>
      <c r="L9" s="9">
        <v>676338</v>
      </c>
      <c r="M9" s="11">
        <v>88935</v>
      </c>
      <c r="N9" s="13">
        <v>46136</v>
      </c>
      <c r="O9" s="39" t="s">
        <v>207</v>
      </c>
    </row>
    <row r="10" spans="1:15" s="2" customFormat="1" ht="24.9" customHeight="1">
      <c r="A10" s="14">
        <v>8</v>
      </c>
      <c r="B10" s="14">
        <v>6</v>
      </c>
      <c r="C10" s="15" t="s">
        <v>294</v>
      </c>
      <c r="D10" s="16">
        <v>7215.73</v>
      </c>
      <c r="E10" s="16">
        <v>10145.129999999999</v>
      </c>
      <c r="F10" s="10">
        <f t="shared" si="1"/>
        <v>-0.28874938024451141</v>
      </c>
      <c r="G10" s="18">
        <v>913</v>
      </c>
      <c r="H10" s="18">
        <v>28</v>
      </c>
      <c r="I10" s="19">
        <f t="shared" si="0"/>
        <v>32.607142857142854</v>
      </c>
      <c r="J10" s="18">
        <v>9</v>
      </c>
      <c r="K10" s="19">
        <v>7</v>
      </c>
      <c r="L10" s="16">
        <v>296570.69</v>
      </c>
      <c r="M10" s="18">
        <v>39392</v>
      </c>
      <c r="N10" s="20">
        <v>46171</v>
      </c>
      <c r="O10" s="40" t="s">
        <v>46</v>
      </c>
    </row>
    <row r="11" spans="1:15" s="2" customFormat="1" ht="24.9" customHeight="1">
      <c r="A11" s="14">
        <v>9</v>
      </c>
      <c r="B11" s="14">
        <v>7</v>
      </c>
      <c r="C11" s="15" t="s">
        <v>309</v>
      </c>
      <c r="D11" s="16">
        <v>6244.12</v>
      </c>
      <c r="E11" s="16">
        <v>8452.93</v>
      </c>
      <c r="F11" s="10">
        <f t="shared" si="1"/>
        <v>-0.2613070260844465</v>
      </c>
      <c r="G11" s="18">
        <v>767</v>
      </c>
      <c r="H11" s="18">
        <v>19</v>
      </c>
      <c r="I11" s="19">
        <f t="shared" si="0"/>
        <v>40.368421052631582</v>
      </c>
      <c r="J11" s="18">
        <v>6</v>
      </c>
      <c r="K11" s="19">
        <v>6</v>
      </c>
      <c r="L11" s="16">
        <v>286138</v>
      </c>
      <c r="M11" s="18">
        <v>34853</v>
      </c>
      <c r="N11" s="20">
        <v>46178</v>
      </c>
      <c r="O11" s="40" t="s">
        <v>310</v>
      </c>
    </row>
    <row r="12" spans="1:15" s="2" customFormat="1" ht="24.9" customHeight="1">
      <c r="A12" s="14">
        <v>10</v>
      </c>
      <c r="B12" s="14">
        <v>9</v>
      </c>
      <c r="C12" s="15" t="s">
        <v>322</v>
      </c>
      <c r="D12" s="16">
        <v>4657.58</v>
      </c>
      <c r="E12" s="16">
        <v>7698.57</v>
      </c>
      <c r="F12" s="10">
        <f t="shared" si="1"/>
        <v>-0.39500712469978189</v>
      </c>
      <c r="G12" s="18">
        <v>555</v>
      </c>
      <c r="H12" s="18">
        <v>14</v>
      </c>
      <c r="I12" s="19">
        <f t="shared" si="0"/>
        <v>39.642857142857146</v>
      </c>
      <c r="J12" s="18">
        <v>5</v>
      </c>
      <c r="K12" s="19">
        <v>5</v>
      </c>
      <c r="L12" s="9">
        <v>134828</v>
      </c>
      <c r="M12" s="11">
        <v>17255</v>
      </c>
      <c r="N12" s="20">
        <v>46183</v>
      </c>
      <c r="O12" s="39" t="s">
        <v>207</v>
      </c>
    </row>
    <row r="13" spans="1:15" s="2" customFormat="1" ht="24.9" customHeight="1">
      <c r="A13" s="14">
        <v>11</v>
      </c>
      <c r="B13" s="14">
        <v>12</v>
      </c>
      <c r="C13" s="8" t="s">
        <v>263</v>
      </c>
      <c r="D13" s="16">
        <v>3649.74</v>
      </c>
      <c r="E13" s="16">
        <v>3791.97</v>
      </c>
      <c r="F13" s="10">
        <f t="shared" si="1"/>
        <v>-3.7508208134558033E-2</v>
      </c>
      <c r="G13" s="11">
        <v>485</v>
      </c>
      <c r="H13" s="11">
        <v>14</v>
      </c>
      <c r="I13" s="19">
        <f t="shared" si="0"/>
        <v>34.642857142857146</v>
      </c>
      <c r="J13" s="11">
        <v>5</v>
      </c>
      <c r="K13" s="12">
        <v>11</v>
      </c>
      <c r="L13" s="9">
        <v>933312</v>
      </c>
      <c r="M13" s="11">
        <v>111848</v>
      </c>
      <c r="N13" s="13">
        <v>46143</v>
      </c>
      <c r="O13" s="39" t="s">
        <v>37</v>
      </c>
    </row>
    <row r="14" spans="1:15" s="2" customFormat="1" ht="24.9" customHeight="1">
      <c r="A14" s="14">
        <v>12</v>
      </c>
      <c r="B14" s="14">
        <v>8</v>
      </c>
      <c r="C14" s="15" t="s">
        <v>337</v>
      </c>
      <c r="D14" s="16">
        <v>3006.4</v>
      </c>
      <c r="E14" s="16">
        <v>8309.85</v>
      </c>
      <c r="F14" s="10">
        <f t="shared" si="1"/>
        <v>-0.63821248277646414</v>
      </c>
      <c r="G14" s="18">
        <v>363</v>
      </c>
      <c r="H14" s="18">
        <v>15</v>
      </c>
      <c r="I14" s="19">
        <f t="shared" si="0"/>
        <v>24.2</v>
      </c>
      <c r="J14" s="18">
        <v>5</v>
      </c>
      <c r="K14" s="11">
        <v>3</v>
      </c>
      <c r="L14" s="16">
        <v>31552</v>
      </c>
      <c r="M14" s="18">
        <v>4072</v>
      </c>
      <c r="N14" s="20">
        <v>46199</v>
      </c>
      <c r="O14" s="40" t="s">
        <v>310</v>
      </c>
    </row>
    <row r="15" spans="1:15" s="1" customFormat="1" ht="24.9" customHeight="1">
      <c r="A15" s="14">
        <v>13</v>
      </c>
      <c r="B15" s="14">
        <v>27</v>
      </c>
      <c r="C15" s="15" t="s">
        <v>193</v>
      </c>
      <c r="D15" s="16">
        <v>591.6</v>
      </c>
      <c r="E15" s="16">
        <v>36</v>
      </c>
      <c r="F15" s="10">
        <f t="shared" si="1"/>
        <v>15.433333333333334</v>
      </c>
      <c r="G15" s="18">
        <v>77</v>
      </c>
      <c r="H15" s="18">
        <v>1</v>
      </c>
      <c r="I15" s="19">
        <f t="shared" si="0"/>
        <v>77</v>
      </c>
      <c r="J15" s="18">
        <v>1</v>
      </c>
      <c r="K15" s="11" t="s">
        <v>13</v>
      </c>
      <c r="L15" s="16">
        <v>10227.25</v>
      </c>
      <c r="M15" s="18">
        <v>1358</v>
      </c>
      <c r="N15" s="20">
        <v>46104</v>
      </c>
      <c r="O15" s="39" t="s">
        <v>47</v>
      </c>
    </row>
    <row r="16" spans="1:15" s="1" customFormat="1" ht="24.9" customHeight="1">
      <c r="A16" s="14">
        <v>14</v>
      </c>
      <c r="B16" s="14">
        <v>20</v>
      </c>
      <c r="C16" s="15" t="s">
        <v>318</v>
      </c>
      <c r="D16" s="16">
        <v>538</v>
      </c>
      <c r="E16" s="16">
        <v>371</v>
      </c>
      <c r="F16" s="10">
        <f t="shared" si="1"/>
        <v>0.45013477088948789</v>
      </c>
      <c r="G16" s="18">
        <v>97</v>
      </c>
      <c r="H16" s="11" t="s">
        <v>13</v>
      </c>
      <c r="I16" s="16" t="s">
        <v>13</v>
      </c>
      <c r="J16" s="18">
        <v>4</v>
      </c>
      <c r="K16" s="19">
        <v>5</v>
      </c>
      <c r="L16" s="9">
        <v>15392</v>
      </c>
      <c r="M16" s="11">
        <v>2523</v>
      </c>
      <c r="N16" s="20">
        <v>46185</v>
      </c>
      <c r="O16" s="39" t="s">
        <v>44</v>
      </c>
    </row>
    <row r="17" spans="1:15" ht="24.9" customHeight="1">
      <c r="A17" s="14">
        <v>15</v>
      </c>
      <c r="B17" s="14">
        <v>10</v>
      </c>
      <c r="C17" s="15" t="s">
        <v>340</v>
      </c>
      <c r="D17" s="16">
        <v>525.11</v>
      </c>
      <c r="E17" s="16">
        <v>5638.84</v>
      </c>
      <c r="F17" s="10">
        <f t="shared" si="1"/>
        <v>-0.90687623695653719</v>
      </c>
      <c r="G17" s="18">
        <v>75</v>
      </c>
      <c r="H17" s="18">
        <v>9</v>
      </c>
      <c r="I17" s="19">
        <f t="shared" ref="I17:I22" si="2">G17/H17</f>
        <v>8.3333333333333339</v>
      </c>
      <c r="J17" s="18">
        <v>3</v>
      </c>
      <c r="K17" s="19">
        <v>3</v>
      </c>
      <c r="L17" s="16">
        <v>33513.480000000003</v>
      </c>
      <c r="M17" s="18">
        <v>4599</v>
      </c>
      <c r="N17" s="20">
        <v>46199</v>
      </c>
      <c r="O17" s="39" t="s">
        <v>55</v>
      </c>
    </row>
    <row r="18" spans="1:15" ht="24.9" customHeight="1">
      <c r="A18" s="14">
        <v>16</v>
      </c>
      <c r="B18" s="14">
        <v>21</v>
      </c>
      <c r="C18" s="8" t="s">
        <v>235</v>
      </c>
      <c r="D18" s="16">
        <v>419.85</v>
      </c>
      <c r="E18" s="16">
        <v>319.05</v>
      </c>
      <c r="F18" s="10">
        <f t="shared" si="1"/>
        <v>0.31593794076163612</v>
      </c>
      <c r="G18" s="11">
        <v>45</v>
      </c>
      <c r="H18" s="11">
        <v>3</v>
      </c>
      <c r="I18" s="19">
        <f t="shared" si="2"/>
        <v>15</v>
      </c>
      <c r="J18" s="11">
        <v>1</v>
      </c>
      <c r="K18" s="12">
        <v>13</v>
      </c>
      <c r="L18" s="9">
        <v>201601.64</v>
      </c>
      <c r="M18" s="11">
        <v>27837</v>
      </c>
      <c r="N18" s="13">
        <v>46122</v>
      </c>
      <c r="O18" s="39" t="s">
        <v>47</v>
      </c>
    </row>
    <row r="19" spans="1:15" ht="24.9" customHeight="1">
      <c r="A19" s="14">
        <v>17</v>
      </c>
      <c r="B19" s="11" t="s">
        <v>13</v>
      </c>
      <c r="C19" s="77" t="s">
        <v>143</v>
      </c>
      <c r="D19" s="16">
        <v>407.81</v>
      </c>
      <c r="E19" s="11" t="s">
        <v>13</v>
      </c>
      <c r="F19" s="11" t="s">
        <v>13</v>
      </c>
      <c r="G19" s="18">
        <v>157</v>
      </c>
      <c r="H19" s="18">
        <v>10</v>
      </c>
      <c r="I19" s="19">
        <f t="shared" si="2"/>
        <v>15.7</v>
      </c>
      <c r="J19" s="18">
        <v>4</v>
      </c>
      <c r="K19" s="19">
        <v>72</v>
      </c>
      <c r="L19" s="16">
        <v>25868.26</v>
      </c>
      <c r="M19" s="18">
        <v>4774</v>
      </c>
      <c r="N19" s="20">
        <v>45716</v>
      </c>
      <c r="O19" s="40" t="s">
        <v>42</v>
      </c>
    </row>
    <row r="20" spans="1:15" ht="24.9" customHeight="1">
      <c r="A20" s="14">
        <v>18</v>
      </c>
      <c r="B20" s="19">
        <v>22</v>
      </c>
      <c r="C20" s="15" t="s">
        <v>328</v>
      </c>
      <c r="D20" s="16">
        <v>400.7</v>
      </c>
      <c r="E20" s="16">
        <v>169</v>
      </c>
      <c r="F20" s="10">
        <f>(D20-E20)/E20</f>
        <v>1.3710059171597633</v>
      </c>
      <c r="G20" s="18">
        <v>60</v>
      </c>
      <c r="H20" s="18">
        <v>4</v>
      </c>
      <c r="I20" s="19">
        <f t="shared" si="2"/>
        <v>15</v>
      </c>
      <c r="J20" s="18">
        <v>3</v>
      </c>
      <c r="K20" s="19">
        <v>4</v>
      </c>
      <c r="L20" s="9">
        <v>2597.38</v>
      </c>
      <c r="M20" s="11">
        <v>415</v>
      </c>
      <c r="N20" s="13">
        <v>46192</v>
      </c>
      <c r="O20" s="39" t="s">
        <v>43</v>
      </c>
    </row>
    <row r="21" spans="1:15" ht="24.9" customHeight="1">
      <c r="A21" s="14">
        <v>19</v>
      </c>
      <c r="B21" s="11" t="s">
        <v>13</v>
      </c>
      <c r="C21" s="15" t="s">
        <v>368</v>
      </c>
      <c r="D21" s="16">
        <v>339.66999999999985</v>
      </c>
      <c r="E21" s="11" t="s">
        <v>13</v>
      </c>
      <c r="F21" s="11" t="s">
        <v>13</v>
      </c>
      <c r="G21" s="18">
        <v>34</v>
      </c>
      <c r="H21" s="18">
        <v>3</v>
      </c>
      <c r="I21" s="19">
        <f t="shared" si="2"/>
        <v>11.333333333333334</v>
      </c>
      <c r="J21" s="18">
        <v>1</v>
      </c>
      <c r="K21" s="11" t="s">
        <v>13</v>
      </c>
      <c r="L21" s="9">
        <v>8793.8200000000015</v>
      </c>
      <c r="M21" s="11">
        <v>1161</v>
      </c>
      <c r="N21" s="20">
        <v>46150</v>
      </c>
      <c r="O21" s="40" t="s">
        <v>43</v>
      </c>
    </row>
    <row r="22" spans="1:15" ht="24.9" customHeight="1">
      <c r="A22" s="14">
        <v>20</v>
      </c>
      <c r="B22" s="14">
        <v>11</v>
      </c>
      <c r="C22" s="15" t="s">
        <v>344</v>
      </c>
      <c r="D22" s="16">
        <v>307.64999999999998</v>
      </c>
      <c r="E22" s="16">
        <v>4211.6099999999997</v>
      </c>
      <c r="F22" s="10">
        <f>(D22-E22)/E22</f>
        <v>-0.92695192574811058</v>
      </c>
      <c r="G22" s="18">
        <v>43</v>
      </c>
      <c r="H22" s="18">
        <v>7</v>
      </c>
      <c r="I22" s="19">
        <f t="shared" si="2"/>
        <v>6.1428571428571432</v>
      </c>
      <c r="J22" s="18">
        <v>5</v>
      </c>
      <c r="K22" s="19">
        <v>2</v>
      </c>
      <c r="L22" s="16">
        <v>12073</v>
      </c>
      <c r="M22" s="18">
        <v>1479</v>
      </c>
      <c r="N22" s="13">
        <v>46206</v>
      </c>
      <c r="O22" s="39" t="s">
        <v>94</v>
      </c>
    </row>
    <row r="23" spans="1:15" ht="24.9" customHeight="1">
      <c r="A23" s="14">
        <v>21</v>
      </c>
      <c r="B23" s="14">
        <v>23</v>
      </c>
      <c r="C23" s="81" t="s">
        <v>184</v>
      </c>
      <c r="D23" s="16">
        <v>250</v>
      </c>
      <c r="E23" s="11" t="s">
        <v>13</v>
      </c>
      <c r="F23" s="11" t="s">
        <v>13</v>
      </c>
      <c r="G23" s="18">
        <v>43</v>
      </c>
      <c r="H23" s="18">
        <v>2</v>
      </c>
      <c r="I23" s="11" t="s">
        <v>13</v>
      </c>
      <c r="J23" s="18">
        <v>1</v>
      </c>
      <c r="K23" s="19">
        <v>17</v>
      </c>
      <c r="L23" s="16">
        <v>700167.32</v>
      </c>
      <c r="M23" s="18">
        <v>79493</v>
      </c>
      <c r="N23" s="13">
        <v>46101</v>
      </c>
      <c r="O23" s="39" t="s">
        <v>42</v>
      </c>
    </row>
    <row r="24" spans="1:15" ht="24.9" customHeight="1">
      <c r="A24" s="14">
        <v>22</v>
      </c>
      <c r="B24" s="14">
        <v>26</v>
      </c>
      <c r="C24" s="77" t="s">
        <v>270</v>
      </c>
      <c r="D24" s="16">
        <v>230.23</v>
      </c>
      <c r="E24" s="16">
        <v>70.150000000000006</v>
      </c>
      <c r="F24" s="10">
        <f>(D24-E24)/E24</f>
        <v>2.2819672131147537</v>
      </c>
      <c r="G24" s="18">
        <v>33</v>
      </c>
      <c r="H24" s="19">
        <v>2</v>
      </c>
      <c r="I24" s="19">
        <f>G24/H24</f>
        <v>16.5</v>
      </c>
      <c r="J24" s="18">
        <v>2</v>
      </c>
      <c r="K24" s="11" t="s">
        <v>13</v>
      </c>
      <c r="L24" s="16">
        <v>36074.21</v>
      </c>
      <c r="M24" s="18">
        <v>5596</v>
      </c>
      <c r="N24" s="20">
        <v>45926</v>
      </c>
      <c r="O24" s="40" t="s">
        <v>47</v>
      </c>
    </row>
    <row r="25" spans="1:15" ht="24.9" customHeight="1">
      <c r="A25" s="14">
        <v>23</v>
      </c>
      <c r="B25" s="14">
        <v>23</v>
      </c>
      <c r="C25" s="8" t="s">
        <v>248</v>
      </c>
      <c r="D25" s="16">
        <v>195</v>
      </c>
      <c r="E25" s="16">
        <v>165</v>
      </c>
      <c r="F25" s="10">
        <f>(D25-E25)/E25</f>
        <v>0.18181818181818182</v>
      </c>
      <c r="G25" s="11">
        <v>39</v>
      </c>
      <c r="H25" s="11" t="s">
        <v>13</v>
      </c>
      <c r="I25" s="16" t="s">
        <v>13</v>
      </c>
      <c r="J25" s="11">
        <v>1</v>
      </c>
      <c r="K25" s="12">
        <v>12</v>
      </c>
      <c r="L25" s="9">
        <v>75341</v>
      </c>
      <c r="M25" s="11">
        <v>13651</v>
      </c>
      <c r="N25" s="13">
        <v>46136</v>
      </c>
      <c r="O25" s="39" t="s">
        <v>44</v>
      </c>
    </row>
    <row r="26" spans="1:15" ht="24.9" customHeight="1">
      <c r="A26" s="14">
        <v>24</v>
      </c>
      <c r="B26" s="14">
        <v>13</v>
      </c>
      <c r="C26" s="15" t="s">
        <v>342</v>
      </c>
      <c r="D26" s="16">
        <v>190</v>
      </c>
      <c r="E26" s="16">
        <v>3751</v>
      </c>
      <c r="F26" s="10">
        <f>(D26-E26)/E26</f>
        <v>-0.94934684084244203</v>
      </c>
      <c r="G26" s="18">
        <v>28</v>
      </c>
      <c r="H26" s="11" t="s">
        <v>13</v>
      </c>
      <c r="I26" s="11" t="s">
        <v>13</v>
      </c>
      <c r="J26" s="18">
        <v>3</v>
      </c>
      <c r="K26" s="19">
        <v>3</v>
      </c>
      <c r="L26" s="16">
        <v>15672</v>
      </c>
      <c r="M26" s="18">
        <v>2161</v>
      </c>
      <c r="N26" s="20">
        <v>46199</v>
      </c>
      <c r="O26" s="39" t="s">
        <v>44</v>
      </c>
    </row>
    <row r="27" spans="1:15" ht="24.9" customHeight="1">
      <c r="A27" s="14">
        <v>25</v>
      </c>
      <c r="B27" s="11" t="s">
        <v>13</v>
      </c>
      <c r="C27" s="15" t="s">
        <v>354</v>
      </c>
      <c r="D27" s="16">
        <v>152.5</v>
      </c>
      <c r="E27" s="11" t="s">
        <v>13</v>
      </c>
      <c r="F27" s="11" t="s">
        <v>13</v>
      </c>
      <c r="G27" s="18">
        <v>61</v>
      </c>
      <c r="H27" s="18">
        <v>9</v>
      </c>
      <c r="I27" s="19">
        <f t="shared" ref="I27:I35" si="3">G27/H27</f>
        <v>6.7777777777777777</v>
      </c>
      <c r="J27" s="18">
        <v>4</v>
      </c>
      <c r="K27" s="19">
        <v>47</v>
      </c>
      <c r="L27" s="16">
        <v>66487.78</v>
      </c>
      <c r="M27" s="18">
        <v>13231</v>
      </c>
      <c r="N27" s="20">
        <v>45891</v>
      </c>
      <c r="O27" s="40" t="s">
        <v>42</v>
      </c>
    </row>
    <row r="28" spans="1:15" ht="24.9" customHeight="1">
      <c r="A28" s="14">
        <v>26</v>
      </c>
      <c r="B28" s="11" t="s">
        <v>13</v>
      </c>
      <c r="C28" s="8" t="s">
        <v>266</v>
      </c>
      <c r="D28" s="16">
        <v>150</v>
      </c>
      <c r="E28" s="11" t="s">
        <v>13</v>
      </c>
      <c r="F28" s="11" t="s">
        <v>13</v>
      </c>
      <c r="G28" s="18">
        <v>50</v>
      </c>
      <c r="H28" s="18">
        <v>1</v>
      </c>
      <c r="I28" s="19">
        <f t="shared" si="3"/>
        <v>50</v>
      </c>
      <c r="J28" s="18">
        <v>1</v>
      </c>
      <c r="K28" s="19">
        <v>8</v>
      </c>
      <c r="L28" s="16" t="s">
        <v>352</v>
      </c>
      <c r="M28" s="18">
        <v>781</v>
      </c>
      <c r="N28" s="20">
        <v>46150</v>
      </c>
      <c r="O28" s="40" t="s">
        <v>86</v>
      </c>
    </row>
    <row r="29" spans="1:15" ht="24.9" customHeight="1">
      <c r="A29" s="14">
        <v>27</v>
      </c>
      <c r="B29" s="11" t="s">
        <v>13</v>
      </c>
      <c r="C29" s="15" t="s">
        <v>213</v>
      </c>
      <c r="D29" s="16">
        <v>133.5</v>
      </c>
      <c r="E29" s="11" t="s">
        <v>13</v>
      </c>
      <c r="F29" s="11" t="s">
        <v>13</v>
      </c>
      <c r="G29" s="18">
        <v>24</v>
      </c>
      <c r="H29" s="18">
        <v>1</v>
      </c>
      <c r="I29" s="19">
        <f t="shared" si="3"/>
        <v>24</v>
      </c>
      <c r="J29" s="18">
        <v>1</v>
      </c>
      <c r="K29" s="11" t="s">
        <v>13</v>
      </c>
      <c r="L29" s="16">
        <v>11654.33</v>
      </c>
      <c r="M29" s="18">
        <v>1922</v>
      </c>
      <c r="N29" s="20">
        <v>46115</v>
      </c>
      <c r="O29" s="40" t="s">
        <v>46</v>
      </c>
    </row>
    <row r="30" spans="1:15" ht="24.9" customHeight="1">
      <c r="A30" s="14">
        <v>28</v>
      </c>
      <c r="B30" s="14">
        <v>17</v>
      </c>
      <c r="C30" s="8" t="s">
        <v>290</v>
      </c>
      <c r="D30" s="16">
        <v>130</v>
      </c>
      <c r="E30" s="16">
        <v>427.61</v>
      </c>
      <c r="F30" s="10">
        <f>(D30-E30)/E30</f>
        <v>-0.69598465891817307</v>
      </c>
      <c r="G30" s="11">
        <v>21</v>
      </c>
      <c r="H30" s="11">
        <v>2</v>
      </c>
      <c r="I30" s="19">
        <f t="shared" si="3"/>
        <v>10.5</v>
      </c>
      <c r="J30" s="11">
        <v>1</v>
      </c>
      <c r="K30" s="12">
        <v>7</v>
      </c>
      <c r="L30" s="9">
        <v>92223.35</v>
      </c>
      <c r="M30" s="11">
        <v>17648</v>
      </c>
      <c r="N30" s="13">
        <v>46171</v>
      </c>
      <c r="O30" s="39" t="s">
        <v>42</v>
      </c>
    </row>
    <row r="31" spans="1:15" ht="24.9" customHeight="1">
      <c r="A31" s="14">
        <v>29</v>
      </c>
      <c r="B31" s="11" t="s">
        <v>13</v>
      </c>
      <c r="C31" s="8" t="s">
        <v>257</v>
      </c>
      <c r="D31" s="16">
        <v>115</v>
      </c>
      <c r="E31" s="11" t="s">
        <v>13</v>
      </c>
      <c r="F31" s="11" t="s">
        <v>13</v>
      </c>
      <c r="G31" s="18">
        <v>23</v>
      </c>
      <c r="H31" s="18">
        <v>1</v>
      </c>
      <c r="I31" s="19">
        <f t="shared" si="3"/>
        <v>23</v>
      </c>
      <c r="J31" s="18">
        <v>1</v>
      </c>
      <c r="K31" s="11" t="s">
        <v>13</v>
      </c>
      <c r="L31" s="16">
        <v>19691.060000000001</v>
      </c>
      <c r="M31" s="18">
        <v>3936</v>
      </c>
      <c r="N31" s="20">
        <v>46143</v>
      </c>
      <c r="O31" s="40" t="s">
        <v>46</v>
      </c>
    </row>
    <row r="32" spans="1:15" ht="24.9" customHeight="1">
      <c r="A32" s="14">
        <v>30</v>
      </c>
      <c r="B32" s="14">
        <v>15</v>
      </c>
      <c r="C32" s="15" t="s">
        <v>338</v>
      </c>
      <c r="D32" s="16">
        <v>105</v>
      </c>
      <c r="E32" s="16">
        <v>890.28</v>
      </c>
      <c r="F32" s="10">
        <f>(D32-E32)/E32</f>
        <v>-0.8820595767623669</v>
      </c>
      <c r="G32" s="18">
        <v>24</v>
      </c>
      <c r="H32" s="18">
        <v>1</v>
      </c>
      <c r="I32" s="19">
        <f t="shared" si="3"/>
        <v>24</v>
      </c>
      <c r="J32" s="18">
        <v>1</v>
      </c>
      <c r="K32" s="11">
        <v>3</v>
      </c>
      <c r="L32" s="16">
        <v>6178</v>
      </c>
      <c r="M32" s="18">
        <v>914</v>
      </c>
      <c r="N32" s="20">
        <v>46199</v>
      </c>
      <c r="O32" s="39" t="s">
        <v>94</v>
      </c>
    </row>
    <row r="33" spans="1:15" ht="24.9" customHeight="1">
      <c r="A33" s="14">
        <v>31</v>
      </c>
      <c r="B33" s="11" t="s">
        <v>13</v>
      </c>
      <c r="C33" s="77" t="s">
        <v>233</v>
      </c>
      <c r="D33" s="16">
        <v>95.5</v>
      </c>
      <c r="E33" s="11" t="s">
        <v>13</v>
      </c>
      <c r="F33" s="11" t="s">
        <v>13</v>
      </c>
      <c r="G33" s="18">
        <v>10</v>
      </c>
      <c r="H33" s="18">
        <v>1</v>
      </c>
      <c r="I33" s="19">
        <f t="shared" si="3"/>
        <v>10</v>
      </c>
      <c r="J33" s="18">
        <v>1</v>
      </c>
      <c r="K33" s="11" t="s">
        <v>13</v>
      </c>
      <c r="L33" s="16">
        <v>27033.919999999998</v>
      </c>
      <c r="M33" s="18">
        <v>3698</v>
      </c>
      <c r="N33" s="20">
        <v>46104</v>
      </c>
      <c r="O33" s="40" t="s">
        <v>47</v>
      </c>
    </row>
    <row r="34" spans="1:15" ht="24.9" customHeight="1">
      <c r="A34" s="14">
        <v>32</v>
      </c>
      <c r="B34" s="14">
        <v>28</v>
      </c>
      <c r="C34" s="15" t="s">
        <v>329</v>
      </c>
      <c r="D34" s="16">
        <v>28</v>
      </c>
      <c r="E34" s="16">
        <v>35</v>
      </c>
      <c r="F34" s="10">
        <f>(D34-E34)/E34</f>
        <v>-0.2</v>
      </c>
      <c r="G34" s="18">
        <v>4</v>
      </c>
      <c r="H34" s="11">
        <v>1</v>
      </c>
      <c r="I34" s="12">
        <f t="shared" si="3"/>
        <v>4</v>
      </c>
      <c r="J34" s="11">
        <v>1</v>
      </c>
      <c r="K34" s="11">
        <v>4</v>
      </c>
      <c r="L34" s="16">
        <v>4791.22</v>
      </c>
      <c r="M34" s="18">
        <v>704</v>
      </c>
      <c r="N34" s="20">
        <v>46192</v>
      </c>
      <c r="O34" s="40" t="s">
        <v>46</v>
      </c>
    </row>
    <row r="35" spans="1:15" ht="24.9" customHeight="1">
      <c r="A35" s="14">
        <v>33</v>
      </c>
      <c r="B35" s="11" t="s">
        <v>13</v>
      </c>
      <c r="C35" s="81" t="s">
        <v>194</v>
      </c>
      <c r="D35" s="16">
        <v>0</v>
      </c>
      <c r="E35" s="11" t="s">
        <v>13</v>
      </c>
      <c r="F35" s="11" t="s">
        <v>13</v>
      </c>
      <c r="G35" s="18">
        <v>0</v>
      </c>
      <c r="H35" s="18">
        <v>1</v>
      </c>
      <c r="I35" s="19">
        <f t="shared" si="3"/>
        <v>0</v>
      </c>
      <c r="J35" s="18">
        <v>1</v>
      </c>
      <c r="K35" s="11" t="s">
        <v>13</v>
      </c>
      <c r="L35" s="16">
        <v>5892.99</v>
      </c>
      <c r="M35" s="18">
        <v>843</v>
      </c>
      <c r="N35" s="20">
        <v>46104</v>
      </c>
      <c r="O35" s="40" t="s">
        <v>47</v>
      </c>
    </row>
    <row r="36" spans="1:15" ht="24.75" customHeight="1">
      <c r="A36" s="59"/>
      <c r="B36" s="60" t="s">
        <v>14</v>
      </c>
      <c r="C36" s="61" t="s">
        <v>87</v>
      </c>
      <c r="D36" s="27">
        <f>SUBTOTAL(109,Table1324567891011121314151617181920212223242526272829[Pajamos 
(GBO)])</f>
        <v>310217.65999999997</v>
      </c>
      <c r="E36" s="27">
        <f>SUBTOTAL(109,Table1324567891011121314151617181920212223242526272829[Pajamos 
praeita sav.
(GBO LW)])</f>
        <v>360770.67000000004</v>
      </c>
      <c r="F36" s="62">
        <f>(D36-E36)/E36</f>
        <v>-0.14012505506614509</v>
      </c>
      <c r="G36" s="34">
        <f>SUBTOTAL(109,Table1324567891011121314151617181920212223242526272829[Žiūrovų sk. 
(ADM)])</f>
        <v>43022</v>
      </c>
      <c r="H36" s="63"/>
      <c r="I36" s="59"/>
      <c r="J36" s="63"/>
      <c r="K36" s="64"/>
      <c r="L36" s="65"/>
      <c r="M36" s="63"/>
      <c r="N36" s="66"/>
      <c r="O36" s="67"/>
    </row>
    <row r="37" spans="1:15"/>
    <row r="38" spans="1:15"/>
    <row r="39" spans="1:15" ht="9" customHeight="1"/>
    <row r="40" spans="1:15"/>
    <row r="41" spans="1:15"/>
    <row r="42" spans="1:15"/>
    <row r="43" spans="1:15"/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</sheetData>
  <mergeCells count="1">
    <mergeCell ref="A1:O1"/>
  </mergeCells>
  <conditionalFormatting sqref="C32">
    <cfRule type="duplicateValues" dxfId="14" priority="1"/>
  </conditionalFormatting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C6C83-73D6-45CD-8224-26A5BD69B5BB}">
  <dimension ref="A1:XFC445"/>
  <sheetViews>
    <sheetView zoomScale="70" zoomScaleNormal="70" workbookViewId="0">
      <selection activeCell="O29" sqref="O29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349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4" t="s">
        <v>49</v>
      </c>
      <c r="C3" s="15" t="s">
        <v>343</v>
      </c>
      <c r="D3" s="16">
        <v>195214.69</v>
      </c>
      <c r="E3" s="11" t="s">
        <v>13</v>
      </c>
      <c r="F3" s="11" t="s">
        <v>13</v>
      </c>
      <c r="G3" s="18">
        <v>28389</v>
      </c>
      <c r="H3" s="18">
        <v>304</v>
      </c>
      <c r="I3" s="19">
        <f t="shared" ref="I3:I14" si="0">G3/H3</f>
        <v>93.38486842105263</v>
      </c>
      <c r="J3" s="18">
        <v>34</v>
      </c>
      <c r="K3" s="19">
        <v>1</v>
      </c>
      <c r="L3" s="16">
        <v>278666</v>
      </c>
      <c r="M3" s="18">
        <v>41613</v>
      </c>
      <c r="N3" s="13">
        <v>46204</v>
      </c>
      <c r="O3" s="40" t="s">
        <v>207</v>
      </c>
    </row>
    <row r="4" spans="1:15" s="2" customFormat="1" ht="24.9" customHeight="1">
      <c r="A4" s="14">
        <v>2</v>
      </c>
      <c r="B4" s="14">
        <v>1</v>
      </c>
      <c r="C4" s="15" t="s">
        <v>326</v>
      </c>
      <c r="D4" s="16">
        <v>35502.120000000003</v>
      </c>
      <c r="E4" s="16">
        <v>34005.29</v>
      </c>
      <c r="F4" s="10">
        <f>(D4-E4)/E4</f>
        <v>4.401756314973352E-2</v>
      </c>
      <c r="G4" s="18">
        <v>5484</v>
      </c>
      <c r="H4" s="11">
        <v>127</v>
      </c>
      <c r="I4" s="12">
        <f t="shared" si="0"/>
        <v>43.181102362204726</v>
      </c>
      <c r="J4" s="11">
        <v>18</v>
      </c>
      <c r="K4" s="12">
        <v>3</v>
      </c>
      <c r="L4" s="9">
        <v>240251</v>
      </c>
      <c r="M4" s="11">
        <v>39593</v>
      </c>
      <c r="N4" s="13">
        <v>46192</v>
      </c>
      <c r="O4" s="39" t="s">
        <v>37</v>
      </c>
    </row>
    <row r="5" spans="1:15" s="2" customFormat="1" ht="24.9" customHeight="1">
      <c r="A5" s="14">
        <v>3</v>
      </c>
      <c r="B5" s="14">
        <v>2</v>
      </c>
      <c r="C5" s="15" t="s">
        <v>321</v>
      </c>
      <c r="D5" s="16">
        <v>35398.910000000003</v>
      </c>
      <c r="E5" s="16">
        <v>18358.84</v>
      </c>
      <c r="F5" s="10">
        <f>(D5-E5)/E5</f>
        <v>0.92816703016094715</v>
      </c>
      <c r="G5" s="18">
        <v>4069</v>
      </c>
      <c r="H5" s="18">
        <v>74</v>
      </c>
      <c r="I5" s="19">
        <f t="shared" si="0"/>
        <v>54.986486486486484</v>
      </c>
      <c r="J5" s="18">
        <v>12</v>
      </c>
      <c r="K5" s="19">
        <v>4</v>
      </c>
      <c r="L5" s="9">
        <v>288350</v>
      </c>
      <c r="M5" s="11">
        <v>36693</v>
      </c>
      <c r="N5" s="20">
        <v>46185</v>
      </c>
      <c r="O5" s="39" t="s">
        <v>94</v>
      </c>
    </row>
    <row r="6" spans="1:15" s="2" customFormat="1" ht="24.9" customHeight="1">
      <c r="A6" s="14">
        <v>4</v>
      </c>
      <c r="B6" s="14" t="s">
        <v>49</v>
      </c>
      <c r="C6" s="8" t="s">
        <v>346</v>
      </c>
      <c r="D6" s="16">
        <v>28018.560000000001</v>
      </c>
      <c r="E6" s="11" t="s">
        <v>13</v>
      </c>
      <c r="F6" s="11" t="s">
        <v>13</v>
      </c>
      <c r="G6" s="18">
        <v>3234</v>
      </c>
      <c r="H6" s="18">
        <v>88</v>
      </c>
      <c r="I6" s="19">
        <f t="shared" si="0"/>
        <v>36.75</v>
      </c>
      <c r="J6" s="18">
        <v>17</v>
      </c>
      <c r="K6" s="19">
        <v>1</v>
      </c>
      <c r="L6" s="16">
        <v>33607.300000000003</v>
      </c>
      <c r="M6" s="18">
        <v>3994</v>
      </c>
      <c r="N6" s="13">
        <v>46206</v>
      </c>
      <c r="O6" s="39" t="s">
        <v>42</v>
      </c>
    </row>
    <row r="7" spans="1:15" s="2" customFormat="1" ht="24.9" customHeight="1">
      <c r="A7" s="14">
        <v>5</v>
      </c>
      <c r="B7" s="14">
        <v>7</v>
      </c>
      <c r="C7" s="8" t="s">
        <v>251</v>
      </c>
      <c r="D7" s="16">
        <v>12153.4</v>
      </c>
      <c r="E7" s="16">
        <v>5747.35</v>
      </c>
      <c r="F7" s="10">
        <f t="shared" ref="F7:F12" si="1">(D7-E7)/E7</f>
        <v>1.1146093416966079</v>
      </c>
      <c r="G7" s="11">
        <v>1610</v>
      </c>
      <c r="H7" s="11">
        <v>25</v>
      </c>
      <c r="I7" s="19">
        <f t="shared" si="0"/>
        <v>64.400000000000006</v>
      </c>
      <c r="J7" s="11">
        <v>10</v>
      </c>
      <c r="K7" s="12">
        <v>11</v>
      </c>
      <c r="L7" s="9">
        <v>654451</v>
      </c>
      <c r="M7" s="11">
        <v>86027</v>
      </c>
      <c r="N7" s="13">
        <v>46136</v>
      </c>
      <c r="O7" s="39" t="s">
        <v>207</v>
      </c>
    </row>
    <row r="8" spans="1:15" s="2" customFormat="1" ht="24.9" customHeight="1">
      <c r="A8" s="14">
        <v>6</v>
      </c>
      <c r="B8" s="14">
        <v>9</v>
      </c>
      <c r="C8" s="15" t="s">
        <v>294</v>
      </c>
      <c r="D8" s="16">
        <v>10145.129999999999</v>
      </c>
      <c r="E8" s="16">
        <v>5240.4799999999996</v>
      </c>
      <c r="F8" s="10">
        <f t="shared" si="1"/>
        <v>0.93591617561750073</v>
      </c>
      <c r="G8" s="18">
        <v>1232</v>
      </c>
      <c r="H8" s="18">
        <v>29</v>
      </c>
      <c r="I8" s="19">
        <f t="shared" si="0"/>
        <v>42.482758620689658</v>
      </c>
      <c r="J8" s="18">
        <v>6</v>
      </c>
      <c r="K8" s="19">
        <v>6</v>
      </c>
      <c r="L8" s="16">
        <v>280213.28000000003</v>
      </c>
      <c r="M8" s="18">
        <v>37209</v>
      </c>
      <c r="N8" s="20">
        <v>46171</v>
      </c>
      <c r="O8" s="40" t="s">
        <v>46</v>
      </c>
    </row>
    <row r="9" spans="1:15" s="2" customFormat="1" ht="24.9" customHeight="1">
      <c r="A9" s="14">
        <v>7</v>
      </c>
      <c r="B9" s="14">
        <v>6</v>
      </c>
      <c r="C9" s="15" t="s">
        <v>309</v>
      </c>
      <c r="D9" s="16">
        <v>8452.93</v>
      </c>
      <c r="E9" s="16">
        <v>5807.91</v>
      </c>
      <c r="F9" s="10">
        <f t="shared" si="1"/>
        <v>0.45541683669340616</v>
      </c>
      <c r="G9" s="18">
        <v>1058</v>
      </c>
      <c r="H9" s="18">
        <v>28</v>
      </c>
      <c r="I9" s="19">
        <f t="shared" si="0"/>
        <v>37.785714285714285</v>
      </c>
      <c r="J9" s="18">
        <v>6</v>
      </c>
      <c r="K9" s="19">
        <v>5</v>
      </c>
      <c r="L9" s="16">
        <v>273007</v>
      </c>
      <c r="M9" s="18">
        <v>33211</v>
      </c>
      <c r="N9" s="20">
        <v>46178</v>
      </c>
      <c r="O9" s="40" t="s">
        <v>310</v>
      </c>
    </row>
    <row r="10" spans="1:15" s="2" customFormat="1" ht="24.9" customHeight="1">
      <c r="A10" s="14">
        <v>8</v>
      </c>
      <c r="B10" s="14">
        <v>4</v>
      </c>
      <c r="C10" s="15" t="s">
        <v>337</v>
      </c>
      <c r="D10" s="16">
        <v>8309.85</v>
      </c>
      <c r="E10" s="16">
        <v>6923.99</v>
      </c>
      <c r="F10" s="10">
        <f t="shared" si="1"/>
        <v>0.20015337977091252</v>
      </c>
      <c r="G10" s="18">
        <v>1004</v>
      </c>
      <c r="H10" s="18">
        <v>39</v>
      </c>
      <c r="I10" s="19">
        <f t="shared" si="0"/>
        <v>25.743589743589745</v>
      </c>
      <c r="J10" s="18">
        <v>11</v>
      </c>
      <c r="K10" s="11">
        <v>2</v>
      </c>
      <c r="L10" s="16">
        <v>22630</v>
      </c>
      <c r="M10" s="18">
        <v>2956</v>
      </c>
      <c r="N10" s="20">
        <v>46199</v>
      </c>
      <c r="O10" s="40" t="s">
        <v>310</v>
      </c>
    </row>
    <row r="11" spans="1:15" s="2" customFormat="1" ht="24.9" customHeight="1">
      <c r="A11" s="14">
        <v>9</v>
      </c>
      <c r="B11" s="14">
        <v>5</v>
      </c>
      <c r="C11" s="15" t="s">
        <v>322</v>
      </c>
      <c r="D11" s="16">
        <v>7698.57</v>
      </c>
      <c r="E11" s="16">
        <v>6568.51</v>
      </c>
      <c r="F11" s="10">
        <f t="shared" si="1"/>
        <v>0.17204206128939431</v>
      </c>
      <c r="G11" s="18">
        <v>951</v>
      </c>
      <c r="H11" s="18">
        <v>25</v>
      </c>
      <c r="I11" s="19">
        <f t="shared" si="0"/>
        <v>38.04</v>
      </c>
      <c r="J11" s="18">
        <v>7</v>
      </c>
      <c r="K11" s="19">
        <v>4</v>
      </c>
      <c r="L11" s="9">
        <v>124390</v>
      </c>
      <c r="M11" s="11">
        <v>15926</v>
      </c>
      <c r="N11" s="20">
        <v>46183</v>
      </c>
      <c r="O11" s="39" t="s">
        <v>207</v>
      </c>
    </row>
    <row r="12" spans="1:15" s="2" customFormat="1" ht="24.9" customHeight="1">
      <c r="A12" s="14">
        <v>10</v>
      </c>
      <c r="B12" s="14">
        <v>3</v>
      </c>
      <c r="C12" s="15" t="s">
        <v>340</v>
      </c>
      <c r="D12" s="16">
        <v>5638.84</v>
      </c>
      <c r="E12" s="16">
        <v>10080.24</v>
      </c>
      <c r="F12" s="10">
        <f t="shared" si="1"/>
        <v>-0.44060458877963221</v>
      </c>
      <c r="G12" s="18">
        <v>771</v>
      </c>
      <c r="H12" s="18">
        <v>62</v>
      </c>
      <c r="I12" s="19">
        <f t="shared" si="0"/>
        <v>12.435483870967742</v>
      </c>
      <c r="J12" s="18">
        <v>14</v>
      </c>
      <c r="K12" s="19">
        <v>2</v>
      </c>
      <c r="L12" s="16">
        <v>27903.040000000001</v>
      </c>
      <c r="M12" s="18">
        <v>3778</v>
      </c>
      <c r="N12" s="20">
        <v>46199</v>
      </c>
      <c r="O12" s="39" t="s">
        <v>55</v>
      </c>
    </row>
    <row r="13" spans="1:15" s="2" customFormat="1" ht="24.9" customHeight="1">
      <c r="A13" s="14">
        <v>11</v>
      </c>
      <c r="B13" s="14" t="s">
        <v>49</v>
      </c>
      <c r="C13" s="15" t="s">
        <v>344</v>
      </c>
      <c r="D13" s="16">
        <v>4211.6099999999997</v>
      </c>
      <c r="E13" s="11" t="s">
        <v>13</v>
      </c>
      <c r="F13" s="11" t="s">
        <v>13</v>
      </c>
      <c r="G13" s="18">
        <v>606</v>
      </c>
      <c r="H13" s="18">
        <v>63</v>
      </c>
      <c r="I13" s="19">
        <f t="shared" si="0"/>
        <v>9.6190476190476186</v>
      </c>
      <c r="J13" s="18">
        <v>16</v>
      </c>
      <c r="K13" s="19">
        <v>1</v>
      </c>
      <c r="L13" s="16">
        <v>7987</v>
      </c>
      <c r="M13" s="18">
        <v>903</v>
      </c>
      <c r="N13" s="13">
        <v>46206</v>
      </c>
      <c r="O13" s="39" t="s">
        <v>94</v>
      </c>
    </row>
    <row r="14" spans="1:15" s="2" customFormat="1" ht="24.9" customHeight="1">
      <c r="A14" s="14">
        <v>12</v>
      </c>
      <c r="B14" s="14">
        <v>10</v>
      </c>
      <c r="C14" s="8" t="s">
        <v>263</v>
      </c>
      <c r="D14" s="16">
        <v>3791.97</v>
      </c>
      <c r="E14" s="16">
        <v>2922.42</v>
      </c>
      <c r="F14" s="10">
        <f>(D14-E14)/E14</f>
        <v>0.2975445007904407</v>
      </c>
      <c r="G14" s="11">
        <v>488</v>
      </c>
      <c r="H14" s="11">
        <v>12</v>
      </c>
      <c r="I14" s="19">
        <f t="shared" si="0"/>
        <v>40.666666666666664</v>
      </c>
      <c r="J14" s="11">
        <v>4</v>
      </c>
      <c r="K14" s="12">
        <v>10</v>
      </c>
      <c r="L14" s="9">
        <v>926452</v>
      </c>
      <c r="M14" s="11">
        <v>110918</v>
      </c>
      <c r="N14" s="13">
        <v>46143</v>
      </c>
      <c r="O14" s="39" t="s">
        <v>37</v>
      </c>
    </row>
    <row r="15" spans="1:15" s="1" customFormat="1" ht="24.9" customHeight="1">
      <c r="A15" s="14">
        <v>13</v>
      </c>
      <c r="B15" s="14">
        <v>8</v>
      </c>
      <c r="C15" s="15" t="s">
        <v>342</v>
      </c>
      <c r="D15" s="16">
        <v>3751</v>
      </c>
      <c r="E15" s="16">
        <v>5365</v>
      </c>
      <c r="F15" s="10">
        <f>(D15-E15)/E15</f>
        <v>-0.30083876980428703</v>
      </c>
      <c r="G15" s="18">
        <v>459</v>
      </c>
      <c r="H15" s="11" t="s">
        <v>13</v>
      </c>
      <c r="I15" s="11" t="s">
        <v>13</v>
      </c>
      <c r="J15" s="18">
        <v>9</v>
      </c>
      <c r="K15" s="19">
        <v>2</v>
      </c>
      <c r="L15" s="16">
        <v>12632</v>
      </c>
      <c r="M15" s="18">
        <v>1700</v>
      </c>
      <c r="N15" s="20">
        <v>46199</v>
      </c>
      <c r="O15" s="39" t="s">
        <v>44</v>
      </c>
    </row>
    <row r="16" spans="1:15" s="1" customFormat="1" ht="24.9" customHeight="1">
      <c r="A16" s="14">
        <v>14</v>
      </c>
      <c r="B16" s="14" t="s">
        <v>53</v>
      </c>
      <c r="C16" s="15" t="s">
        <v>345</v>
      </c>
      <c r="D16" s="16">
        <v>1374.88</v>
      </c>
      <c r="E16" s="11" t="s">
        <v>13</v>
      </c>
      <c r="F16" s="11" t="s">
        <v>13</v>
      </c>
      <c r="G16" s="18">
        <v>208</v>
      </c>
      <c r="H16" s="18">
        <v>1</v>
      </c>
      <c r="I16" s="19">
        <f t="shared" ref="I16:I21" si="2">G16/H16</f>
        <v>208</v>
      </c>
      <c r="J16" s="18">
        <v>1</v>
      </c>
      <c r="K16" s="19">
        <v>0</v>
      </c>
      <c r="L16" s="16">
        <v>2458</v>
      </c>
      <c r="M16" s="18">
        <v>415</v>
      </c>
      <c r="N16" s="20" t="s">
        <v>45</v>
      </c>
      <c r="O16" s="39" t="s">
        <v>94</v>
      </c>
    </row>
    <row r="17" spans="1:15" s="1" customFormat="1" ht="24.9" customHeight="1">
      <c r="A17" s="14">
        <v>15</v>
      </c>
      <c r="B17" s="14">
        <v>11</v>
      </c>
      <c r="C17" s="15" t="s">
        <v>338</v>
      </c>
      <c r="D17" s="16">
        <v>890.28</v>
      </c>
      <c r="E17" s="16">
        <v>2638.42</v>
      </c>
      <c r="F17" s="10">
        <f>(D17-E17)/E17</f>
        <v>-0.66257078099771838</v>
      </c>
      <c r="G17" s="18">
        <v>123</v>
      </c>
      <c r="H17" s="18">
        <v>5</v>
      </c>
      <c r="I17" s="19">
        <f t="shared" si="2"/>
        <v>24.6</v>
      </c>
      <c r="J17" s="18">
        <v>3</v>
      </c>
      <c r="K17" s="11">
        <v>2</v>
      </c>
      <c r="L17" s="16">
        <v>5624</v>
      </c>
      <c r="M17" s="18">
        <v>829</v>
      </c>
      <c r="N17" s="20">
        <v>46199</v>
      </c>
      <c r="O17" s="39" t="s">
        <v>94</v>
      </c>
    </row>
    <row r="18" spans="1:15" ht="24.9" customHeight="1">
      <c r="A18" s="14">
        <v>16</v>
      </c>
      <c r="B18" s="11" t="s">
        <v>13</v>
      </c>
      <c r="C18" s="15" t="s">
        <v>347</v>
      </c>
      <c r="D18" s="16">
        <v>490</v>
      </c>
      <c r="E18" s="11" t="s">
        <v>13</v>
      </c>
      <c r="F18" s="11" t="s">
        <v>13</v>
      </c>
      <c r="G18" s="18">
        <v>208</v>
      </c>
      <c r="H18" s="18">
        <v>12</v>
      </c>
      <c r="I18" s="19">
        <f t="shared" si="2"/>
        <v>17.333333333333332</v>
      </c>
      <c r="J18" s="18">
        <v>4</v>
      </c>
      <c r="K18" s="19">
        <v>36</v>
      </c>
      <c r="L18" s="16">
        <v>64826.83</v>
      </c>
      <c r="M18" s="18">
        <v>12644</v>
      </c>
      <c r="N18" s="20">
        <v>45961</v>
      </c>
      <c r="O18" s="39" t="s">
        <v>42</v>
      </c>
    </row>
    <row r="19" spans="1:15" ht="24.9" customHeight="1">
      <c r="A19" s="14">
        <v>17</v>
      </c>
      <c r="B19" s="14">
        <v>13</v>
      </c>
      <c r="C19" s="8" t="s">
        <v>290</v>
      </c>
      <c r="D19" s="16">
        <v>427.61</v>
      </c>
      <c r="E19" s="16">
        <v>1201.51</v>
      </c>
      <c r="F19" s="10">
        <f>(D19-E19)/E19</f>
        <v>-0.64410616640727081</v>
      </c>
      <c r="G19" s="11">
        <v>69</v>
      </c>
      <c r="H19" s="11">
        <v>6</v>
      </c>
      <c r="I19" s="19">
        <f t="shared" si="2"/>
        <v>11.5</v>
      </c>
      <c r="J19" s="11">
        <v>2</v>
      </c>
      <c r="K19" s="12">
        <v>6</v>
      </c>
      <c r="L19" s="9">
        <v>91833.69</v>
      </c>
      <c r="M19" s="11">
        <v>17579</v>
      </c>
      <c r="N19" s="13">
        <v>46171</v>
      </c>
      <c r="O19" s="39" t="s">
        <v>42</v>
      </c>
    </row>
    <row r="20" spans="1:15" ht="24.6" customHeight="1">
      <c r="A20" s="14">
        <v>18</v>
      </c>
      <c r="B20" s="11" t="s">
        <v>13</v>
      </c>
      <c r="C20" s="15" t="s">
        <v>348</v>
      </c>
      <c r="D20" s="16">
        <v>409</v>
      </c>
      <c r="E20" s="11" t="s">
        <v>13</v>
      </c>
      <c r="F20" s="11" t="s">
        <v>13</v>
      </c>
      <c r="G20" s="18">
        <v>164</v>
      </c>
      <c r="H20" s="18">
        <v>12</v>
      </c>
      <c r="I20" s="19">
        <f t="shared" si="2"/>
        <v>13.666666666666666</v>
      </c>
      <c r="J20" s="18">
        <v>4</v>
      </c>
      <c r="K20" s="19">
        <v>39</v>
      </c>
      <c r="L20" s="16">
        <v>128681.67</v>
      </c>
      <c r="M20" s="18">
        <v>23399</v>
      </c>
      <c r="N20" s="20">
        <v>45940</v>
      </c>
      <c r="O20" s="39" t="s">
        <v>42</v>
      </c>
    </row>
    <row r="21" spans="1:15" ht="24.9" customHeight="1">
      <c r="A21" s="14">
        <v>19</v>
      </c>
      <c r="B21" s="14">
        <v>15</v>
      </c>
      <c r="C21" s="8" t="s">
        <v>262</v>
      </c>
      <c r="D21" s="16">
        <v>391.81</v>
      </c>
      <c r="E21" s="16">
        <v>765.16</v>
      </c>
      <c r="F21" s="10">
        <f>(D21-E21)/E21</f>
        <v>-0.48793716346907834</v>
      </c>
      <c r="G21" s="11">
        <v>63</v>
      </c>
      <c r="H21" s="11">
        <v>6</v>
      </c>
      <c r="I21" s="19">
        <f t="shared" si="2"/>
        <v>10.5</v>
      </c>
      <c r="J21" s="11">
        <v>2</v>
      </c>
      <c r="K21" s="12">
        <v>9</v>
      </c>
      <c r="L21" s="9">
        <v>130880.01</v>
      </c>
      <c r="M21" s="11">
        <v>22427</v>
      </c>
      <c r="N21" s="13">
        <v>46150</v>
      </c>
      <c r="O21" s="39" t="s">
        <v>39</v>
      </c>
    </row>
    <row r="22" spans="1:15" ht="24.9" customHeight="1">
      <c r="A22" s="14">
        <v>20</v>
      </c>
      <c r="B22" s="14">
        <v>18</v>
      </c>
      <c r="C22" s="15" t="s">
        <v>318</v>
      </c>
      <c r="D22" s="16">
        <v>371</v>
      </c>
      <c r="E22" s="16">
        <v>332</v>
      </c>
      <c r="F22" s="10">
        <f>(D22-E22)/E22</f>
        <v>0.11746987951807229</v>
      </c>
      <c r="G22" s="18">
        <v>59</v>
      </c>
      <c r="H22" s="11" t="s">
        <v>13</v>
      </c>
      <c r="I22" s="16" t="s">
        <v>13</v>
      </c>
      <c r="J22" s="18">
        <v>3</v>
      </c>
      <c r="K22" s="19">
        <v>4</v>
      </c>
      <c r="L22" s="9">
        <v>14736</v>
      </c>
      <c r="M22" s="11">
        <v>2407</v>
      </c>
      <c r="N22" s="20">
        <v>46185</v>
      </c>
      <c r="O22" s="39" t="s">
        <v>44</v>
      </c>
    </row>
    <row r="23" spans="1:15" ht="24.9" customHeight="1">
      <c r="A23" s="14">
        <v>21</v>
      </c>
      <c r="B23" s="14">
        <v>14</v>
      </c>
      <c r="C23" s="8" t="s">
        <v>235</v>
      </c>
      <c r="D23" s="16">
        <v>319.05</v>
      </c>
      <c r="E23" s="16">
        <v>1184.05</v>
      </c>
      <c r="F23" s="10">
        <f>(D23-E23)/E23</f>
        <v>-0.73054347367087547</v>
      </c>
      <c r="G23" s="11">
        <v>34</v>
      </c>
      <c r="H23" s="11">
        <v>3</v>
      </c>
      <c r="I23" s="19">
        <f>G23/H23</f>
        <v>11.333333333333334</v>
      </c>
      <c r="J23" s="11">
        <v>2</v>
      </c>
      <c r="K23" s="12">
        <v>12</v>
      </c>
      <c r="L23" s="9">
        <v>200684.57</v>
      </c>
      <c r="M23" s="11">
        <v>27732</v>
      </c>
      <c r="N23" s="13">
        <v>46122</v>
      </c>
      <c r="O23" s="39" t="s">
        <v>47</v>
      </c>
    </row>
    <row r="24" spans="1:15" ht="24.9" customHeight="1">
      <c r="A24" s="7">
        <v>22</v>
      </c>
      <c r="B24" s="12">
        <v>20</v>
      </c>
      <c r="C24" s="8" t="s">
        <v>328</v>
      </c>
      <c r="D24" s="16">
        <v>169</v>
      </c>
      <c r="E24" s="16">
        <v>280</v>
      </c>
      <c r="F24" s="10">
        <f>(D24-E24)/E24</f>
        <v>-0.39642857142857141</v>
      </c>
      <c r="G24" s="18">
        <v>31</v>
      </c>
      <c r="H24" s="18">
        <v>2</v>
      </c>
      <c r="I24" s="19">
        <f>G24/H24</f>
        <v>15.5</v>
      </c>
      <c r="J24" s="18">
        <v>2</v>
      </c>
      <c r="K24" s="19">
        <v>3</v>
      </c>
      <c r="L24" s="9">
        <v>1975</v>
      </c>
      <c r="M24" s="11">
        <v>320</v>
      </c>
      <c r="N24" s="13">
        <v>46192</v>
      </c>
      <c r="O24" s="39" t="s">
        <v>43</v>
      </c>
    </row>
    <row r="25" spans="1:15" ht="24.9" customHeight="1">
      <c r="A25" s="7">
        <v>23</v>
      </c>
      <c r="B25" s="7">
        <v>28</v>
      </c>
      <c r="C25" s="8" t="s">
        <v>248</v>
      </c>
      <c r="D25" s="16">
        <v>165</v>
      </c>
      <c r="E25" s="16">
        <v>40</v>
      </c>
      <c r="F25" s="10">
        <f>(D25-E25)/E25</f>
        <v>3.125</v>
      </c>
      <c r="G25" s="11">
        <v>33</v>
      </c>
      <c r="H25" s="11"/>
      <c r="I25" s="16" t="s">
        <v>13</v>
      </c>
      <c r="J25" s="11">
        <v>1</v>
      </c>
      <c r="K25" s="12">
        <v>11</v>
      </c>
      <c r="L25" s="9">
        <v>75146</v>
      </c>
      <c r="M25" s="11">
        <v>13612</v>
      </c>
      <c r="N25" s="13">
        <v>46136</v>
      </c>
      <c r="O25" s="39" t="s">
        <v>44</v>
      </c>
    </row>
    <row r="26" spans="1:15" ht="24.9" customHeight="1">
      <c r="A26" s="7">
        <v>24</v>
      </c>
      <c r="B26" s="11" t="s">
        <v>13</v>
      </c>
      <c r="C26" s="81" t="s">
        <v>184</v>
      </c>
      <c r="D26" s="16">
        <v>150.5</v>
      </c>
      <c r="E26" s="11" t="s">
        <v>13</v>
      </c>
      <c r="F26" s="11" t="s">
        <v>13</v>
      </c>
      <c r="G26" s="18">
        <v>25</v>
      </c>
      <c r="H26" s="18">
        <v>1</v>
      </c>
      <c r="I26" s="19">
        <f t="shared" ref="I26:I31" si="3">G26/H26</f>
        <v>25</v>
      </c>
      <c r="J26" s="18">
        <v>1</v>
      </c>
      <c r="K26" s="19">
        <v>16</v>
      </c>
      <c r="L26" s="16">
        <v>699917.32</v>
      </c>
      <c r="M26" s="18">
        <v>79450</v>
      </c>
      <c r="N26" s="13">
        <v>46101</v>
      </c>
      <c r="O26" s="39" t="s">
        <v>42</v>
      </c>
    </row>
    <row r="27" spans="1:15" ht="24.9" customHeight="1">
      <c r="A27" s="7">
        <v>25</v>
      </c>
      <c r="B27" s="7">
        <v>12</v>
      </c>
      <c r="C27" s="8" t="s">
        <v>306</v>
      </c>
      <c r="D27" s="16">
        <v>143.69</v>
      </c>
      <c r="E27" s="16">
        <v>1293.55</v>
      </c>
      <c r="F27" s="10">
        <f>(D27-E27)/E27</f>
        <v>-0.88891809361833707</v>
      </c>
      <c r="G27" s="18">
        <v>21</v>
      </c>
      <c r="H27" s="18">
        <v>3</v>
      </c>
      <c r="I27" s="19">
        <f t="shared" si="3"/>
        <v>7</v>
      </c>
      <c r="J27" s="18">
        <v>1</v>
      </c>
      <c r="K27" s="19">
        <v>5</v>
      </c>
      <c r="L27" s="16">
        <v>70063.88</v>
      </c>
      <c r="M27" s="18">
        <v>13072</v>
      </c>
      <c r="N27" s="20">
        <v>46178</v>
      </c>
      <c r="O27" s="40" t="s">
        <v>42</v>
      </c>
    </row>
    <row r="28" spans="1:15" ht="24.9" customHeight="1">
      <c r="A28" s="7">
        <v>26</v>
      </c>
      <c r="B28" s="7">
        <v>34</v>
      </c>
      <c r="C28" s="81" t="s">
        <v>270</v>
      </c>
      <c r="D28" s="16">
        <v>70.150000000000006</v>
      </c>
      <c r="E28" s="16">
        <v>8.5</v>
      </c>
      <c r="F28" s="10">
        <f>(D28-E28)/E28</f>
        <v>7.2529411764705891</v>
      </c>
      <c r="G28" s="18">
        <v>7</v>
      </c>
      <c r="H28" s="19">
        <v>1</v>
      </c>
      <c r="I28" s="19">
        <f t="shared" si="3"/>
        <v>7</v>
      </c>
      <c r="J28" s="18">
        <v>1</v>
      </c>
      <c r="K28" s="11" t="s">
        <v>13</v>
      </c>
      <c r="L28" s="16">
        <v>35843.980000000003</v>
      </c>
      <c r="M28" s="18">
        <v>5563</v>
      </c>
      <c r="N28" s="20">
        <v>45926</v>
      </c>
      <c r="O28" s="40" t="s">
        <v>47</v>
      </c>
    </row>
    <row r="29" spans="1:15" ht="24.9" customHeight="1">
      <c r="A29" s="7">
        <v>27</v>
      </c>
      <c r="B29" s="11" t="s">
        <v>13</v>
      </c>
      <c r="C29" s="8" t="s">
        <v>193</v>
      </c>
      <c r="D29" s="16">
        <v>36</v>
      </c>
      <c r="E29" s="11" t="s">
        <v>13</v>
      </c>
      <c r="F29" s="11" t="s">
        <v>13</v>
      </c>
      <c r="G29" s="18">
        <v>8</v>
      </c>
      <c r="H29" s="18">
        <v>1</v>
      </c>
      <c r="I29" s="19">
        <f t="shared" si="3"/>
        <v>8</v>
      </c>
      <c r="J29" s="18">
        <v>1</v>
      </c>
      <c r="K29" s="11" t="s">
        <v>13</v>
      </c>
      <c r="L29" s="16">
        <v>9632.65</v>
      </c>
      <c r="M29" s="18">
        <v>1280</v>
      </c>
      <c r="N29" s="20">
        <v>46104</v>
      </c>
      <c r="O29" s="39" t="s">
        <v>47</v>
      </c>
    </row>
    <row r="30" spans="1:15" ht="24.9" customHeight="1">
      <c r="A30" s="7">
        <v>28</v>
      </c>
      <c r="B30" s="7">
        <v>24</v>
      </c>
      <c r="C30" s="8" t="s">
        <v>329</v>
      </c>
      <c r="D30" s="16">
        <v>35</v>
      </c>
      <c r="E30" s="16">
        <v>78.5</v>
      </c>
      <c r="F30" s="10">
        <f>(D30-E30)/E30</f>
        <v>-0.55414012738853502</v>
      </c>
      <c r="G30" s="18">
        <v>10</v>
      </c>
      <c r="H30" s="11">
        <v>1</v>
      </c>
      <c r="I30" s="12">
        <f t="shared" si="3"/>
        <v>10</v>
      </c>
      <c r="J30" s="11">
        <v>1</v>
      </c>
      <c r="K30" s="11">
        <v>3</v>
      </c>
      <c r="L30" s="9">
        <v>4637.22</v>
      </c>
      <c r="M30" s="11">
        <v>682</v>
      </c>
      <c r="N30" s="13">
        <v>46192</v>
      </c>
      <c r="O30" s="39" t="s">
        <v>46</v>
      </c>
    </row>
    <row r="31" spans="1:15" ht="24.9" customHeight="1">
      <c r="A31" s="7">
        <v>29</v>
      </c>
      <c r="B31" s="7">
        <v>32</v>
      </c>
      <c r="C31" s="81" t="s">
        <v>341</v>
      </c>
      <c r="D31" s="16">
        <v>14</v>
      </c>
      <c r="E31" s="16">
        <v>12</v>
      </c>
      <c r="F31" s="10">
        <f>(D31-E31)/E31</f>
        <v>0.16666666666666666</v>
      </c>
      <c r="G31" s="18">
        <v>4</v>
      </c>
      <c r="H31" s="18">
        <v>1</v>
      </c>
      <c r="I31" s="19">
        <f t="shared" si="3"/>
        <v>4</v>
      </c>
      <c r="J31" s="18">
        <v>1</v>
      </c>
      <c r="K31" s="19">
        <v>26</v>
      </c>
      <c r="L31" s="16">
        <v>38639.86</v>
      </c>
      <c r="M31" s="18">
        <v>6738</v>
      </c>
      <c r="N31" s="13">
        <v>46031</v>
      </c>
      <c r="O31" s="39" t="s">
        <v>42</v>
      </c>
    </row>
    <row r="32" spans="1:15" ht="24.75" customHeight="1">
      <c r="A32" s="59"/>
      <c r="B32" s="60" t="s">
        <v>14</v>
      </c>
      <c r="C32" s="61" t="s">
        <v>172</v>
      </c>
      <c r="D32" s="27">
        <f>SUBTOTAL(109,Table13245678910111213141516171819202122232425262728[Pajamos 
(GBO)])</f>
        <v>363744.55</v>
      </c>
      <c r="E32" s="27">
        <f>SUBTOTAL(109,Table13245678910111213141516171819202122232425262728[Pajamos 
praeita sav.
(GBO LW)])</f>
        <v>108853.72000000002</v>
      </c>
      <c r="F32" s="62">
        <f>(D32-E32)/E32</f>
        <v>2.341590438985456</v>
      </c>
      <c r="G32" s="34">
        <f>SUBTOTAL(109,Table13245678910111213141516171819202122232425262728[Žiūrovų sk. 
(ADM)])</f>
        <v>50422</v>
      </c>
      <c r="H32" s="63"/>
      <c r="I32" s="59"/>
      <c r="J32" s="63"/>
      <c r="K32" s="64"/>
      <c r="L32" s="65"/>
      <c r="M32" s="63"/>
      <c r="N32" s="66"/>
      <c r="O32" s="67"/>
    </row>
    <row r="33"/>
    <row r="34"/>
    <row r="35" ht="9" customHeight="1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B22EC-550A-4D82-9EB4-19039E370669}">
  <dimension ref="A1:XFC412"/>
  <sheetViews>
    <sheetView topLeftCell="A20" zoomScale="70" zoomScaleNormal="70" workbookViewId="0">
      <selection activeCell="O37" sqref="O37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334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4">
        <v>1</v>
      </c>
      <c r="C3" s="15" t="s">
        <v>326</v>
      </c>
      <c r="D3" s="16">
        <v>34005.29</v>
      </c>
      <c r="E3" s="16">
        <v>56479.55</v>
      </c>
      <c r="F3" s="10">
        <f>(D3-E3)/E3</f>
        <v>-0.39791853865691212</v>
      </c>
      <c r="G3" s="18">
        <v>5280</v>
      </c>
      <c r="H3" s="11">
        <v>219</v>
      </c>
      <c r="I3" s="12">
        <f t="shared" ref="I3:I9" si="0">G3/H3</f>
        <v>24.109589041095891</v>
      </c>
      <c r="J3" s="11">
        <v>25</v>
      </c>
      <c r="K3" s="12">
        <v>2</v>
      </c>
      <c r="L3" s="9">
        <v>172276</v>
      </c>
      <c r="M3" s="11">
        <v>28207</v>
      </c>
      <c r="N3" s="13">
        <v>46192</v>
      </c>
      <c r="O3" s="39" t="s">
        <v>37</v>
      </c>
    </row>
    <row r="4" spans="1:15" s="2" customFormat="1" ht="24.9" customHeight="1">
      <c r="A4" s="14">
        <v>2</v>
      </c>
      <c r="B4" s="14">
        <v>2</v>
      </c>
      <c r="C4" s="15" t="s">
        <v>321</v>
      </c>
      <c r="D4" s="16">
        <v>18358.84</v>
      </c>
      <c r="E4" s="16">
        <v>29280.83</v>
      </c>
      <c r="F4" s="10">
        <f>(D4-E4)/E4</f>
        <v>-0.37300821049130101</v>
      </c>
      <c r="G4" s="18">
        <v>2187</v>
      </c>
      <c r="H4" s="18">
        <v>96</v>
      </c>
      <c r="I4" s="19">
        <f t="shared" si="0"/>
        <v>22.78125</v>
      </c>
      <c r="J4" s="18">
        <v>14</v>
      </c>
      <c r="K4" s="19">
        <v>3</v>
      </c>
      <c r="L4" s="9">
        <v>230681</v>
      </c>
      <c r="M4" s="11">
        <v>29320</v>
      </c>
      <c r="N4" s="20">
        <v>46185</v>
      </c>
      <c r="O4" s="39" t="s">
        <v>94</v>
      </c>
    </row>
    <row r="5" spans="1:15" s="2" customFormat="1" ht="24.9" customHeight="1">
      <c r="A5" s="14">
        <v>3</v>
      </c>
      <c r="B5" s="19" t="s">
        <v>49</v>
      </c>
      <c r="C5" s="15" t="s">
        <v>340</v>
      </c>
      <c r="D5" s="16">
        <v>10080.24</v>
      </c>
      <c r="E5" s="11" t="s">
        <v>13</v>
      </c>
      <c r="F5" s="11" t="s">
        <v>13</v>
      </c>
      <c r="G5" s="18">
        <v>1275</v>
      </c>
      <c r="H5" s="18">
        <v>112</v>
      </c>
      <c r="I5" s="19">
        <f t="shared" si="0"/>
        <v>11.383928571428571</v>
      </c>
      <c r="J5" s="18">
        <v>14</v>
      </c>
      <c r="K5" s="19">
        <v>1</v>
      </c>
      <c r="L5" s="16">
        <v>14490.96</v>
      </c>
      <c r="M5" s="18">
        <v>1779</v>
      </c>
      <c r="N5" s="20">
        <v>46199</v>
      </c>
      <c r="O5" s="39" t="s">
        <v>55</v>
      </c>
    </row>
    <row r="6" spans="1:15" s="2" customFormat="1" ht="24.9" customHeight="1">
      <c r="A6" s="14">
        <v>4</v>
      </c>
      <c r="B6" s="19" t="s">
        <v>49</v>
      </c>
      <c r="C6" s="15" t="s">
        <v>337</v>
      </c>
      <c r="D6" s="16">
        <v>6923.99</v>
      </c>
      <c r="E6" s="11" t="s">
        <v>13</v>
      </c>
      <c r="F6" s="11" t="s">
        <v>13</v>
      </c>
      <c r="G6" s="18">
        <v>837</v>
      </c>
      <c r="H6" s="18">
        <v>77</v>
      </c>
      <c r="I6" s="19">
        <f t="shared" si="0"/>
        <v>10.870129870129871</v>
      </c>
      <c r="J6" s="18">
        <v>15</v>
      </c>
      <c r="K6" s="11">
        <v>1</v>
      </c>
      <c r="L6" s="16">
        <v>6924</v>
      </c>
      <c r="M6" s="18">
        <v>837</v>
      </c>
      <c r="N6" s="20">
        <v>46199</v>
      </c>
      <c r="O6" s="40" t="s">
        <v>310</v>
      </c>
    </row>
    <row r="7" spans="1:15" s="2" customFormat="1" ht="24.9" customHeight="1">
      <c r="A7" s="14">
        <v>5</v>
      </c>
      <c r="B7" s="14">
        <v>3</v>
      </c>
      <c r="C7" s="15" t="s">
        <v>322</v>
      </c>
      <c r="D7" s="16">
        <v>6568.51</v>
      </c>
      <c r="E7" s="16">
        <v>13983.16</v>
      </c>
      <c r="F7" s="10">
        <f>(D7-E7)/E7</f>
        <v>-0.5302556789738514</v>
      </c>
      <c r="G7" s="18">
        <v>769</v>
      </c>
      <c r="H7" s="18">
        <v>44</v>
      </c>
      <c r="I7" s="19">
        <f t="shared" si="0"/>
        <v>17.477272727272727</v>
      </c>
      <c r="J7" s="18">
        <v>11</v>
      </c>
      <c r="K7" s="19">
        <v>3</v>
      </c>
      <c r="L7" s="9">
        <v>111080</v>
      </c>
      <c r="M7" s="11">
        <v>14120</v>
      </c>
      <c r="N7" s="20">
        <v>46183</v>
      </c>
      <c r="O7" s="39" t="s">
        <v>207</v>
      </c>
    </row>
    <row r="8" spans="1:15" s="2" customFormat="1" ht="24.9" customHeight="1">
      <c r="A8" s="14">
        <v>6</v>
      </c>
      <c r="B8" s="14">
        <v>4</v>
      </c>
      <c r="C8" s="15" t="s">
        <v>309</v>
      </c>
      <c r="D8" s="16">
        <v>5807.91</v>
      </c>
      <c r="E8" s="16">
        <v>13060.48</v>
      </c>
      <c r="F8" s="10">
        <f>(D8-E8)/E8</f>
        <v>-0.55530654309795657</v>
      </c>
      <c r="G8" s="18">
        <v>738</v>
      </c>
      <c r="H8" s="18">
        <v>50</v>
      </c>
      <c r="I8" s="19">
        <f t="shared" si="0"/>
        <v>14.76</v>
      </c>
      <c r="J8" s="18">
        <v>10</v>
      </c>
      <c r="K8" s="19">
        <v>4</v>
      </c>
      <c r="L8" s="16">
        <v>259515</v>
      </c>
      <c r="M8" s="18">
        <v>31374</v>
      </c>
      <c r="N8" s="20">
        <v>46178</v>
      </c>
      <c r="O8" s="40" t="s">
        <v>310</v>
      </c>
    </row>
    <row r="9" spans="1:15" s="2" customFormat="1" ht="24.9" customHeight="1">
      <c r="A9" s="14">
        <v>7</v>
      </c>
      <c r="B9" s="14">
        <v>6</v>
      </c>
      <c r="C9" s="8" t="s">
        <v>251</v>
      </c>
      <c r="D9" s="16">
        <v>5747.35</v>
      </c>
      <c r="E9" s="16">
        <v>9723.2900000000009</v>
      </c>
      <c r="F9" s="10">
        <f>(D9-E9)/E9</f>
        <v>-0.40890891868904455</v>
      </c>
      <c r="G9" s="11">
        <v>776</v>
      </c>
      <c r="H9" s="11">
        <v>38</v>
      </c>
      <c r="I9" s="19">
        <f t="shared" si="0"/>
        <v>20.421052631578949</v>
      </c>
      <c r="J9" s="11">
        <v>11</v>
      </c>
      <c r="K9" s="12">
        <v>10</v>
      </c>
      <c r="L9" s="9">
        <v>635709</v>
      </c>
      <c r="M9" s="11">
        <v>83353</v>
      </c>
      <c r="N9" s="13">
        <v>46136</v>
      </c>
      <c r="O9" s="39" t="s">
        <v>207</v>
      </c>
    </row>
    <row r="10" spans="1:15" s="2" customFormat="1" ht="24.9" customHeight="1">
      <c r="A10" s="14">
        <v>8</v>
      </c>
      <c r="B10" s="19" t="s">
        <v>49</v>
      </c>
      <c r="C10" s="15" t="s">
        <v>342</v>
      </c>
      <c r="D10" s="16">
        <v>5365</v>
      </c>
      <c r="E10" s="11" t="s">
        <v>13</v>
      </c>
      <c r="F10" s="11" t="s">
        <v>13</v>
      </c>
      <c r="G10" s="18">
        <v>668</v>
      </c>
      <c r="H10" s="11" t="s">
        <v>13</v>
      </c>
      <c r="I10" s="11" t="s">
        <v>13</v>
      </c>
      <c r="J10" s="18">
        <v>18</v>
      </c>
      <c r="K10" s="19">
        <v>1</v>
      </c>
      <c r="L10" s="16">
        <v>5365</v>
      </c>
      <c r="M10" s="18">
        <v>668</v>
      </c>
      <c r="N10" s="20">
        <v>46199</v>
      </c>
      <c r="O10" s="39" t="s">
        <v>44</v>
      </c>
    </row>
    <row r="11" spans="1:15" s="2" customFormat="1" ht="24.9" customHeight="1">
      <c r="A11" s="14">
        <v>9</v>
      </c>
      <c r="B11" s="14">
        <v>5</v>
      </c>
      <c r="C11" s="15" t="s">
        <v>294</v>
      </c>
      <c r="D11" s="16">
        <v>5240.4799999999996</v>
      </c>
      <c r="E11" s="16">
        <v>10890.25</v>
      </c>
      <c r="F11" s="10">
        <f>(D11-E11)/E11</f>
        <v>-0.5187915796239756</v>
      </c>
      <c r="G11" s="18">
        <v>663</v>
      </c>
      <c r="H11" s="18">
        <v>41</v>
      </c>
      <c r="I11" s="19">
        <f t="shared" ref="I11:I19" si="1">G11/H11</f>
        <v>16.170731707317074</v>
      </c>
      <c r="J11" s="18">
        <v>7</v>
      </c>
      <c r="K11" s="19">
        <v>5</v>
      </c>
      <c r="L11" s="16">
        <v>262839.74</v>
      </c>
      <c r="M11" s="18">
        <v>34864</v>
      </c>
      <c r="N11" s="20">
        <v>46171</v>
      </c>
      <c r="O11" s="40" t="s">
        <v>46</v>
      </c>
    </row>
    <row r="12" spans="1:15" s="2" customFormat="1" ht="24.9" customHeight="1">
      <c r="A12" s="14">
        <v>10</v>
      </c>
      <c r="B12" s="14">
        <v>7</v>
      </c>
      <c r="C12" s="8" t="s">
        <v>263</v>
      </c>
      <c r="D12" s="16">
        <v>2922.42</v>
      </c>
      <c r="E12" s="16">
        <v>4056.38</v>
      </c>
      <c r="F12" s="10">
        <f>(D12-E12)/E12</f>
        <v>-0.27954974632554147</v>
      </c>
      <c r="G12" s="11">
        <v>394</v>
      </c>
      <c r="H12" s="11">
        <v>20</v>
      </c>
      <c r="I12" s="19">
        <f t="shared" si="1"/>
        <v>19.7</v>
      </c>
      <c r="J12" s="11">
        <v>7</v>
      </c>
      <c r="K12" s="12">
        <v>9</v>
      </c>
      <c r="L12" s="9">
        <v>920799</v>
      </c>
      <c r="M12" s="11">
        <v>110162</v>
      </c>
      <c r="N12" s="13">
        <v>46143</v>
      </c>
      <c r="O12" s="39" t="s">
        <v>37</v>
      </c>
    </row>
    <row r="13" spans="1:15" s="2" customFormat="1" ht="24.9" customHeight="1">
      <c r="A13" s="14">
        <v>11</v>
      </c>
      <c r="B13" s="19" t="s">
        <v>49</v>
      </c>
      <c r="C13" s="15" t="s">
        <v>338</v>
      </c>
      <c r="D13" s="16">
        <v>2638.42</v>
      </c>
      <c r="E13" s="11" t="s">
        <v>13</v>
      </c>
      <c r="F13" s="11" t="s">
        <v>13</v>
      </c>
      <c r="G13" s="18">
        <v>346</v>
      </c>
      <c r="H13" s="18">
        <v>28</v>
      </c>
      <c r="I13" s="19">
        <f t="shared" si="1"/>
        <v>12.357142857142858</v>
      </c>
      <c r="J13" s="18">
        <v>13</v>
      </c>
      <c r="K13" s="11">
        <v>1</v>
      </c>
      <c r="L13" s="16">
        <v>2638</v>
      </c>
      <c r="M13" s="18">
        <v>346</v>
      </c>
      <c r="N13" s="20">
        <v>46199</v>
      </c>
      <c r="O13" s="39" t="s">
        <v>94</v>
      </c>
    </row>
    <row r="14" spans="1:15" s="2" customFormat="1" ht="24.9" customHeight="1">
      <c r="A14" s="14">
        <v>12</v>
      </c>
      <c r="B14" s="14">
        <v>10</v>
      </c>
      <c r="C14" s="15" t="s">
        <v>306</v>
      </c>
      <c r="D14" s="16">
        <v>1293.55</v>
      </c>
      <c r="E14" s="16">
        <v>2158.6799999999998</v>
      </c>
      <c r="F14" s="10">
        <f>(D14-E14)/E14</f>
        <v>-0.40076806196379267</v>
      </c>
      <c r="G14" s="18">
        <v>208</v>
      </c>
      <c r="H14" s="18">
        <v>24</v>
      </c>
      <c r="I14" s="19">
        <f t="shared" si="1"/>
        <v>8.6666666666666661</v>
      </c>
      <c r="J14" s="18">
        <v>10</v>
      </c>
      <c r="K14" s="19">
        <v>4</v>
      </c>
      <c r="L14" s="16">
        <v>67456.2</v>
      </c>
      <c r="M14" s="18">
        <v>12600</v>
      </c>
      <c r="N14" s="20">
        <v>46178</v>
      </c>
      <c r="O14" s="40" t="s">
        <v>42</v>
      </c>
    </row>
    <row r="15" spans="1:15" s="1" customFormat="1" ht="24.9" customHeight="1">
      <c r="A15" s="14">
        <v>13</v>
      </c>
      <c r="B15" s="14">
        <v>8</v>
      </c>
      <c r="C15" s="8" t="s">
        <v>290</v>
      </c>
      <c r="D15" s="16">
        <v>1201.51</v>
      </c>
      <c r="E15" s="16">
        <v>2690.81</v>
      </c>
      <c r="F15" s="10">
        <f>(D15-E15)/E15</f>
        <v>-0.55347646247784121</v>
      </c>
      <c r="G15" s="11">
        <v>188</v>
      </c>
      <c r="H15" s="11">
        <v>28</v>
      </c>
      <c r="I15" s="19">
        <f t="shared" si="1"/>
        <v>6.7142857142857144</v>
      </c>
      <c r="J15" s="11">
        <v>8</v>
      </c>
      <c r="K15" s="12">
        <v>5</v>
      </c>
      <c r="L15" s="9">
        <v>89504.58</v>
      </c>
      <c r="M15" s="11">
        <v>17180</v>
      </c>
      <c r="N15" s="13">
        <v>46171</v>
      </c>
      <c r="O15" s="39" t="s">
        <v>42</v>
      </c>
    </row>
    <row r="16" spans="1:15" s="1" customFormat="1" ht="24.9" customHeight="1">
      <c r="A16" s="14">
        <v>14</v>
      </c>
      <c r="B16" s="14">
        <v>19</v>
      </c>
      <c r="C16" s="8" t="s">
        <v>235</v>
      </c>
      <c r="D16" s="16">
        <v>1184.05</v>
      </c>
      <c r="E16" s="16">
        <v>282.88</v>
      </c>
      <c r="F16" s="10">
        <f>(D16-E16)/E16</f>
        <v>3.1856971153846154</v>
      </c>
      <c r="G16" s="11">
        <v>159</v>
      </c>
      <c r="H16" s="11">
        <v>3</v>
      </c>
      <c r="I16" s="19">
        <f t="shared" si="1"/>
        <v>53</v>
      </c>
      <c r="J16" s="11">
        <v>2</v>
      </c>
      <c r="K16" s="12">
        <v>11</v>
      </c>
      <c r="L16" s="9">
        <v>200273.47</v>
      </c>
      <c r="M16" s="11">
        <v>27689</v>
      </c>
      <c r="N16" s="13">
        <v>46122</v>
      </c>
      <c r="O16" s="39" t="s">
        <v>47</v>
      </c>
    </row>
    <row r="17" spans="1:15" s="1" customFormat="1" ht="24.9" customHeight="1">
      <c r="A17" s="14">
        <v>15</v>
      </c>
      <c r="B17" s="14">
        <v>12</v>
      </c>
      <c r="C17" s="8" t="s">
        <v>262</v>
      </c>
      <c r="D17" s="16">
        <v>765.16</v>
      </c>
      <c r="E17" s="16">
        <v>1474.72</v>
      </c>
      <c r="F17" s="10">
        <f>(D17-E17)/E17</f>
        <v>-0.48114896387110778</v>
      </c>
      <c r="G17" s="11">
        <v>139</v>
      </c>
      <c r="H17" s="11">
        <v>10</v>
      </c>
      <c r="I17" s="19">
        <f t="shared" si="1"/>
        <v>13.9</v>
      </c>
      <c r="J17" s="11">
        <v>4</v>
      </c>
      <c r="K17" s="12">
        <v>8</v>
      </c>
      <c r="L17" s="9">
        <v>128960.94</v>
      </c>
      <c r="M17" s="11">
        <v>22124</v>
      </c>
      <c r="N17" s="13">
        <v>46150</v>
      </c>
      <c r="O17" s="39" t="s">
        <v>39</v>
      </c>
    </row>
    <row r="18" spans="1:15" s="1" customFormat="1" ht="24.9" customHeight="1">
      <c r="A18" s="14">
        <v>16</v>
      </c>
      <c r="B18" s="11" t="s">
        <v>13</v>
      </c>
      <c r="C18" s="15" t="s">
        <v>339</v>
      </c>
      <c r="D18" s="16">
        <v>550</v>
      </c>
      <c r="E18" s="11" t="s">
        <v>13</v>
      </c>
      <c r="F18" s="11" t="s">
        <v>13</v>
      </c>
      <c r="G18" s="18">
        <v>219</v>
      </c>
      <c r="H18" s="18">
        <v>10</v>
      </c>
      <c r="I18" s="19">
        <f t="shared" si="1"/>
        <v>21.9</v>
      </c>
      <c r="J18" s="18">
        <v>4</v>
      </c>
      <c r="K18" s="19">
        <v>24</v>
      </c>
      <c r="L18" s="16">
        <v>304602.77</v>
      </c>
      <c r="M18" s="18">
        <v>54927</v>
      </c>
      <c r="N18" s="13">
        <v>46038</v>
      </c>
      <c r="O18" s="39" t="s">
        <v>42</v>
      </c>
    </row>
    <row r="19" spans="1:15" ht="24.9" customHeight="1">
      <c r="A19" s="14">
        <v>17</v>
      </c>
      <c r="B19" s="14">
        <v>14</v>
      </c>
      <c r="C19" s="8" t="s">
        <v>216</v>
      </c>
      <c r="D19" s="16">
        <v>443.66</v>
      </c>
      <c r="E19" s="16">
        <v>842.64</v>
      </c>
      <c r="F19" s="10">
        <f>(D19-E19)/E19</f>
        <v>-0.47348808506598306</v>
      </c>
      <c r="G19" s="11">
        <v>75</v>
      </c>
      <c r="H19" s="11">
        <v>10</v>
      </c>
      <c r="I19" s="19">
        <f t="shared" si="1"/>
        <v>7.5</v>
      </c>
      <c r="J19" s="11">
        <v>4</v>
      </c>
      <c r="K19" s="12">
        <v>13</v>
      </c>
      <c r="L19" s="9">
        <v>527195</v>
      </c>
      <c r="M19" s="11">
        <v>84933</v>
      </c>
      <c r="N19" s="13">
        <v>46113</v>
      </c>
      <c r="O19" s="39" t="s">
        <v>207</v>
      </c>
    </row>
    <row r="20" spans="1:15" ht="24.9" customHeight="1">
      <c r="A20" s="14">
        <v>18</v>
      </c>
      <c r="B20" s="14">
        <v>13</v>
      </c>
      <c r="C20" s="15" t="s">
        <v>318</v>
      </c>
      <c r="D20" s="16">
        <v>332</v>
      </c>
      <c r="E20" s="16">
        <v>952</v>
      </c>
      <c r="F20" s="10">
        <f>(D20-E20)/E20</f>
        <v>-0.65126050420168069</v>
      </c>
      <c r="G20" s="18">
        <v>56</v>
      </c>
      <c r="H20" s="11" t="s">
        <v>13</v>
      </c>
      <c r="I20" s="16" t="s">
        <v>13</v>
      </c>
      <c r="J20" s="18">
        <v>4</v>
      </c>
      <c r="K20" s="19">
        <v>3</v>
      </c>
      <c r="L20" s="9">
        <v>14056</v>
      </c>
      <c r="M20" s="11">
        <v>2291</v>
      </c>
      <c r="N20" s="20">
        <v>46185</v>
      </c>
      <c r="O20" s="39" t="s">
        <v>44</v>
      </c>
    </row>
    <row r="21" spans="1:15" ht="24.9" customHeight="1">
      <c r="A21" s="14">
        <v>19</v>
      </c>
      <c r="B21" s="11" t="s">
        <v>13</v>
      </c>
      <c r="C21" s="77" t="s">
        <v>105</v>
      </c>
      <c r="D21" s="16">
        <v>302</v>
      </c>
      <c r="E21" s="11" t="s">
        <v>13</v>
      </c>
      <c r="F21" s="11" t="s">
        <v>13</v>
      </c>
      <c r="G21" s="18">
        <v>125</v>
      </c>
      <c r="H21" s="11" t="s">
        <v>13</v>
      </c>
      <c r="I21" s="11" t="s">
        <v>13</v>
      </c>
      <c r="J21" s="18">
        <v>4</v>
      </c>
      <c r="K21" s="11" t="s">
        <v>13</v>
      </c>
      <c r="L21" s="16">
        <v>23454</v>
      </c>
      <c r="M21" s="18">
        <v>4347</v>
      </c>
      <c r="N21" s="20">
        <v>46052</v>
      </c>
      <c r="O21" s="40" t="s">
        <v>44</v>
      </c>
    </row>
    <row r="22" spans="1:15" ht="24.9" customHeight="1">
      <c r="A22" s="14">
        <v>20</v>
      </c>
      <c r="B22" s="14">
        <v>15</v>
      </c>
      <c r="C22" s="15" t="s">
        <v>328</v>
      </c>
      <c r="D22" s="16">
        <v>280.14999999999998</v>
      </c>
      <c r="E22" s="82">
        <v>711</v>
      </c>
      <c r="F22" s="10">
        <f>(D22-E22)/E22</f>
        <v>-0.6059774964838256</v>
      </c>
      <c r="G22" s="83">
        <v>39</v>
      </c>
      <c r="H22" s="83">
        <v>6</v>
      </c>
      <c r="I22" s="12">
        <f t="shared" ref="I22:I29" si="2">G22/H22</f>
        <v>6.5</v>
      </c>
      <c r="J22" s="83">
        <v>4</v>
      </c>
      <c r="K22" s="83">
        <v>2</v>
      </c>
      <c r="L22" s="82">
        <v>1470.93</v>
      </c>
      <c r="M22" s="18">
        <v>220</v>
      </c>
      <c r="N22" s="13">
        <v>46192</v>
      </c>
      <c r="O22" s="39" t="s">
        <v>43</v>
      </c>
    </row>
    <row r="23" spans="1:15" ht="24.9" customHeight="1">
      <c r="A23" s="14">
        <v>21</v>
      </c>
      <c r="B23" s="11" t="s">
        <v>13</v>
      </c>
      <c r="C23" s="15" t="s">
        <v>213</v>
      </c>
      <c r="D23" s="16">
        <v>188.5</v>
      </c>
      <c r="E23" s="11" t="s">
        <v>13</v>
      </c>
      <c r="F23" s="11" t="s">
        <v>13</v>
      </c>
      <c r="G23" s="18">
        <v>34</v>
      </c>
      <c r="H23" s="18">
        <v>2</v>
      </c>
      <c r="I23" s="19">
        <f t="shared" si="2"/>
        <v>17</v>
      </c>
      <c r="J23" s="18">
        <v>2</v>
      </c>
      <c r="K23" s="11" t="s">
        <v>13</v>
      </c>
      <c r="L23" s="16">
        <v>11520.83</v>
      </c>
      <c r="M23" s="18">
        <v>1898</v>
      </c>
      <c r="N23" s="20">
        <v>46115</v>
      </c>
      <c r="O23" s="40" t="s">
        <v>46</v>
      </c>
    </row>
    <row r="24" spans="1:15" ht="24.9" customHeight="1">
      <c r="A24" s="14">
        <v>22</v>
      </c>
      <c r="B24" s="14">
        <v>11</v>
      </c>
      <c r="C24" s="81" t="s">
        <v>330</v>
      </c>
      <c r="D24" s="16">
        <v>112.17</v>
      </c>
      <c r="E24" s="16">
        <v>2012.7</v>
      </c>
      <c r="F24" s="10">
        <f>(D24-E24)/E24</f>
        <v>-0.94426889253241908</v>
      </c>
      <c r="G24" s="18">
        <v>16</v>
      </c>
      <c r="H24" s="11">
        <v>6</v>
      </c>
      <c r="I24" s="12">
        <f t="shared" si="2"/>
        <v>2.6666666666666665</v>
      </c>
      <c r="J24" s="11">
        <v>3</v>
      </c>
      <c r="K24" s="11">
        <v>2</v>
      </c>
      <c r="L24" s="9">
        <v>4710.5200000000004</v>
      </c>
      <c r="M24" s="11">
        <v>771</v>
      </c>
      <c r="N24" s="13">
        <v>46192</v>
      </c>
      <c r="O24" s="39" t="s">
        <v>42</v>
      </c>
    </row>
    <row r="25" spans="1:15" ht="24.9" customHeight="1">
      <c r="A25" s="14">
        <v>23</v>
      </c>
      <c r="B25" s="14">
        <v>32</v>
      </c>
      <c r="C25" s="8" t="s">
        <v>257</v>
      </c>
      <c r="D25" s="16">
        <v>96</v>
      </c>
      <c r="E25" s="16">
        <v>40</v>
      </c>
      <c r="F25" s="10">
        <f>(D25-E25)/E25</f>
        <v>1.4</v>
      </c>
      <c r="G25" s="11">
        <v>18</v>
      </c>
      <c r="H25" s="11">
        <v>3</v>
      </c>
      <c r="I25" s="19">
        <f t="shared" si="2"/>
        <v>6</v>
      </c>
      <c r="J25" s="11">
        <v>2</v>
      </c>
      <c r="K25" s="12">
        <v>9</v>
      </c>
      <c r="L25" s="9">
        <v>19471.060000000001</v>
      </c>
      <c r="M25" s="11">
        <v>3892</v>
      </c>
      <c r="N25" s="13">
        <v>46143</v>
      </c>
      <c r="O25" s="39" t="s">
        <v>46</v>
      </c>
    </row>
    <row r="26" spans="1:15" ht="24.9" customHeight="1">
      <c r="A26" s="14">
        <v>24</v>
      </c>
      <c r="B26" s="14">
        <v>9</v>
      </c>
      <c r="C26" s="15" t="s">
        <v>329</v>
      </c>
      <c r="D26" s="16">
        <v>78.5</v>
      </c>
      <c r="E26" s="16">
        <v>2169.1999999999998</v>
      </c>
      <c r="F26" s="10">
        <f>(D26-E26)/E26</f>
        <v>-0.96381154342614783</v>
      </c>
      <c r="G26" s="18">
        <v>10</v>
      </c>
      <c r="H26" s="11">
        <v>5</v>
      </c>
      <c r="I26" s="12">
        <f t="shared" si="2"/>
        <v>2</v>
      </c>
      <c r="J26" s="11">
        <v>3</v>
      </c>
      <c r="K26" s="11">
        <v>2</v>
      </c>
      <c r="L26" s="9">
        <v>4602.22</v>
      </c>
      <c r="M26" s="11">
        <v>672</v>
      </c>
      <c r="N26" s="13">
        <v>46192</v>
      </c>
      <c r="O26" s="39" t="s">
        <v>46</v>
      </c>
    </row>
    <row r="27" spans="1:15" ht="24.9" customHeight="1">
      <c r="A27" s="14">
        <v>25</v>
      </c>
      <c r="B27" s="11" t="s">
        <v>13</v>
      </c>
      <c r="C27" s="8" t="s">
        <v>266</v>
      </c>
      <c r="D27" s="16">
        <v>74.95</v>
      </c>
      <c r="E27" s="11" t="s">
        <v>13</v>
      </c>
      <c r="F27" s="11" t="s">
        <v>13</v>
      </c>
      <c r="G27" s="18">
        <v>11</v>
      </c>
      <c r="H27" s="18">
        <v>2</v>
      </c>
      <c r="I27" s="19">
        <f t="shared" si="2"/>
        <v>5.5</v>
      </c>
      <c r="J27" s="18">
        <v>1</v>
      </c>
      <c r="K27" s="11">
        <v>6</v>
      </c>
      <c r="L27" s="16">
        <v>1786</v>
      </c>
      <c r="M27" s="18">
        <v>689</v>
      </c>
      <c r="N27" s="13">
        <v>46150</v>
      </c>
      <c r="O27" s="39" t="s">
        <v>86</v>
      </c>
    </row>
    <row r="28" spans="1:15" ht="24.6" customHeight="1">
      <c r="A28" s="14">
        <v>26</v>
      </c>
      <c r="B28" s="14">
        <v>22</v>
      </c>
      <c r="C28" s="8" t="s">
        <v>191</v>
      </c>
      <c r="D28" s="16">
        <v>72.5</v>
      </c>
      <c r="E28" s="16">
        <v>153.43</v>
      </c>
      <c r="F28" s="10">
        <f>(D28-E28)/E28</f>
        <v>-0.52747181124942977</v>
      </c>
      <c r="G28" s="11">
        <v>12</v>
      </c>
      <c r="H28" s="11">
        <v>1</v>
      </c>
      <c r="I28" s="19">
        <f t="shared" si="2"/>
        <v>12</v>
      </c>
      <c r="J28" s="11">
        <v>1</v>
      </c>
      <c r="K28" s="11" t="s">
        <v>13</v>
      </c>
      <c r="L28" s="9">
        <v>49824.21</v>
      </c>
      <c r="M28" s="11">
        <v>7040</v>
      </c>
      <c r="N28" s="13">
        <v>46104</v>
      </c>
      <c r="O28" s="39" t="s">
        <v>47</v>
      </c>
    </row>
    <row r="29" spans="1:15" ht="24.6" customHeight="1">
      <c r="A29" s="14">
        <v>27</v>
      </c>
      <c r="B29" s="14">
        <v>34</v>
      </c>
      <c r="C29" s="15" t="s">
        <v>84</v>
      </c>
      <c r="D29" s="16">
        <v>65.150000000000006</v>
      </c>
      <c r="E29" s="16">
        <v>26.85</v>
      </c>
      <c r="F29" s="10">
        <f>(D29-E29)/E29</f>
        <v>1.426443202979516</v>
      </c>
      <c r="G29" s="18">
        <v>9</v>
      </c>
      <c r="H29" s="18">
        <v>1</v>
      </c>
      <c r="I29" s="19">
        <f t="shared" si="2"/>
        <v>9</v>
      </c>
      <c r="J29" s="18">
        <v>1</v>
      </c>
      <c r="K29" s="11" t="s">
        <v>13</v>
      </c>
      <c r="L29" s="9">
        <v>41320</v>
      </c>
      <c r="M29" s="11">
        <v>6553</v>
      </c>
      <c r="N29" s="20">
        <v>46038</v>
      </c>
      <c r="O29" s="40" t="s">
        <v>207</v>
      </c>
    </row>
    <row r="30" spans="1:15" ht="24.6" customHeight="1">
      <c r="A30" s="14">
        <v>28</v>
      </c>
      <c r="B30" s="14">
        <v>24</v>
      </c>
      <c r="C30" s="8" t="s">
        <v>248</v>
      </c>
      <c r="D30" s="16">
        <v>40</v>
      </c>
      <c r="E30" s="16">
        <v>146</v>
      </c>
      <c r="F30" s="10">
        <f>(D30-E30)/E30</f>
        <v>-0.72602739726027399</v>
      </c>
      <c r="G30" s="11">
        <v>8</v>
      </c>
      <c r="H30" s="11" t="s">
        <v>13</v>
      </c>
      <c r="I30" s="16" t="s">
        <v>13</v>
      </c>
      <c r="J30" s="11">
        <v>1</v>
      </c>
      <c r="K30" s="12">
        <v>10</v>
      </c>
      <c r="L30" s="9">
        <v>74981</v>
      </c>
      <c r="M30" s="11">
        <v>13579</v>
      </c>
      <c r="N30" s="13">
        <v>46136</v>
      </c>
      <c r="O30" s="39" t="s">
        <v>44</v>
      </c>
    </row>
    <row r="31" spans="1:15" ht="24.9" customHeight="1">
      <c r="A31" s="14">
        <v>29</v>
      </c>
      <c r="B31" s="11" t="s">
        <v>13</v>
      </c>
      <c r="C31" s="77" t="s">
        <v>140</v>
      </c>
      <c r="D31" s="16">
        <v>32</v>
      </c>
      <c r="E31" s="11" t="s">
        <v>13</v>
      </c>
      <c r="F31" s="11" t="s">
        <v>13</v>
      </c>
      <c r="G31" s="18">
        <v>6</v>
      </c>
      <c r="H31" s="18">
        <v>1</v>
      </c>
      <c r="I31" s="19">
        <f>G31/H31</f>
        <v>6</v>
      </c>
      <c r="J31" s="18">
        <v>1</v>
      </c>
      <c r="K31" s="11" t="s">
        <v>13</v>
      </c>
      <c r="L31" s="16">
        <v>8125.92</v>
      </c>
      <c r="M31" s="18">
        <v>1153</v>
      </c>
      <c r="N31" s="20">
        <v>46073</v>
      </c>
      <c r="O31" s="40" t="s">
        <v>86</v>
      </c>
    </row>
    <row r="32" spans="1:15" ht="24.9" customHeight="1">
      <c r="A32" s="14">
        <v>30</v>
      </c>
      <c r="B32" s="14">
        <v>17</v>
      </c>
      <c r="C32" s="84" t="s">
        <v>69</v>
      </c>
      <c r="D32" s="16">
        <v>20</v>
      </c>
      <c r="E32" s="16">
        <v>375</v>
      </c>
      <c r="F32" s="10">
        <f>(D32-E32)/E32</f>
        <v>-0.94666666666666666</v>
      </c>
      <c r="G32" s="18">
        <v>4</v>
      </c>
      <c r="H32" s="11" t="s">
        <v>13</v>
      </c>
      <c r="I32" s="11" t="s">
        <v>13</v>
      </c>
      <c r="J32" s="11">
        <v>1</v>
      </c>
      <c r="K32" s="11" t="s">
        <v>13</v>
      </c>
      <c r="L32" s="9">
        <v>115433</v>
      </c>
      <c r="M32" s="11">
        <v>22049</v>
      </c>
      <c r="N32" s="20">
        <v>45954</v>
      </c>
      <c r="O32" s="40" t="s">
        <v>44</v>
      </c>
    </row>
    <row r="33" spans="1:15" ht="24.9" customHeight="1">
      <c r="A33" s="14">
        <v>31</v>
      </c>
      <c r="B33" s="11" t="s">
        <v>13</v>
      </c>
      <c r="C33" s="81" t="s">
        <v>223</v>
      </c>
      <c r="D33" s="16">
        <v>19.350000000000001</v>
      </c>
      <c r="E33" s="11" t="s">
        <v>13</v>
      </c>
      <c r="F33" s="11" t="s">
        <v>13</v>
      </c>
      <c r="G33" s="18">
        <v>3</v>
      </c>
      <c r="H33" s="18">
        <v>2</v>
      </c>
      <c r="I33" s="19">
        <f>G33/H33</f>
        <v>1.5</v>
      </c>
      <c r="J33" s="18">
        <v>1</v>
      </c>
      <c r="K33" s="11">
        <v>10</v>
      </c>
      <c r="L33" s="16" t="s">
        <v>336</v>
      </c>
      <c r="M33" s="18">
        <v>287</v>
      </c>
      <c r="N33" s="13">
        <v>46122</v>
      </c>
      <c r="O33" s="39" t="s">
        <v>86</v>
      </c>
    </row>
    <row r="34" spans="1:15" ht="24.9" customHeight="1">
      <c r="A34" s="14">
        <v>32</v>
      </c>
      <c r="B34" s="11" t="s">
        <v>13</v>
      </c>
      <c r="C34" s="81" t="s">
        <v>341</v>
      </c>
      <c r="D34" s="16">
        <v>12</v>
      </c>
      <c r="E34" s="11" t="s">
        <v>13</v>
      </c>
      <c r="F34" s="11" t="s">
        <v>13</v>
      </c>
      <c r="G34" s="18">
        <v>4</v>
      </c>
      <c r="H34" s="18">
        <v>1</v>
      </c>
      <c r="I34" s="19">
        <f>G34/H34</f>
        <v>4</v>
      </c>
      <c r="J34" s="18">
        <v>1</v>
      </c>
      <c r="K34" s="19">
        <v>25</v>
      </c>
      <c r="L34" s="16">
        <v>38608.36</v>
      </c>
      <c r="M34" s="18">
        <v>6727</v>
      </c>
      <c r="N34" s="13">
        <v>46031</v>
      </c>
      <c r="O34" s="39" t="s">
        <v>42</v>
      </c>
    </row>
    <row r="35" spans="1:15" ht="24.9" customHeight="1">
      <c r="A35" s="14">
        <v>33</v>
      </c>
      <c r="B35" s="19"/>
      <c r="C35" s="15" t="s">
        <v>93</v>
      </c>
      <c r="D35" s="16">
        <v>8.9499999999999993</v>
      </c>
      <c r="E35" s="11" t="s">
        <v>13</v>
      </c>
      <c r="F35" s="11" t="s">
        <v>13</v>
      </c>
      <c r="G35" s="18">
        <v>1</v>
      </c>
      <c r="H35" s="18">
        <v>1</v>
      </c>
      <c r="I35" s="19">
        <f>G35/H35</f>
        <v>1</v>
      </c>
      <c r="J35" s="18">
        <v>1</v>
      </c>
      <c r="K35" s="11" t="s">
        <v>13</v>
      </c>
      <c r="L35" s="16">
        <v>160108</v>
      </c>
      <c r="M35" s="18">
        <v>22219</v>
      </c>
      <c r="N35" s="13">
        <v>46045</v>
      </c>
      <c r="O35" s="39" t="s">
        <v>94</v>
      </c>
    </row>
    <row r="36" spans="1:15" ht="24.9" customHeight="1">
      <c r="A36" s="14">
        <v>34</v>
      </c>
      <c r="B36" s="14">
        <v>26</v>
      </c>
      <c r="C36" s="77" t="s">
        <v>270</v>
      </c>
      <c r="D36" s="16">
        <v>8.5</v>
      </c>
      <c r="E36" s="16">
        <v>99.86</v>
      </c>
      <c r="F36" s="10">
        <f>(D36-E36)/E36</f>
        <v>-0.91488083316643298</v>
      </c>
      <c r="G36" s="18">
        <v>1</v>
      </c>
      <c r="H36" s="19">
        <v>1</v>
      </c>
      <c r="I36" s="19">
        <f>G36/H36</f>
        <v>1</v>
      </c>
      <c r="J36" s="18">
        <v>1</v>
      </c>
      <c r="K36" s="11" t="s">
        <v>13</v>
      </c>
      <c r="L36" s="16">
        <v>35703.82</v>
      </c>
      <c r="M36" s="18">
        <v>5546</v>
      </c>
      <c r="N36" s="20">
        <v>45926</v>
      </c>
      <c r="O36" s="40" t="s">
        <v>47</v>
      </c>
    </row>
    <row r="37" spans="1:15" ht="24.9" customHeight="1">
      <c r="A37" s="14">
        <v>35</v>
      </c>
      <c r="B37" s="14">
        <v>36</v>
      </c>
      <c r="C37" s="15" t="s">
        <v>300</v>
      </c>
      <c r="D37" s="16">
        <v>6</v>
      </c>
      <c r="E37" s="16">
        <v>12</v>
      </c>
      <c r="F37" s="10">
        <f>(D37-E37)/E37</f>
        <v>-0.5</v>
      </c>
      <c r="G37" s="18">
        <v>2</v>
      </c>
      <c r="H37" s="11">
        <v>1</v>
      </c>
      <c r="I37" s="12">
        <f>G37/H37</f>
        <v>2</v>
      </c>
      <c r="J37" s="11">
        <v>1</v>
      </c>
      <c r="K37" s="11" t="s">
        <v>13</v>
      </c>
      <c r="L37" s="9">
        <v>385</v>
      </c>
      <c r="M37" s="11">
        <v>74</v>
      </c>
      <c r="N37" s="20">
        <v>46104</v>
      </c>
      <c r="O37" s="40" t="s">
        <v>47</v>
      </c>
    </row>
    <row r="38" spans="1:15" ht="24.9" customHeight="1">
      <c r="A38" s="14">
        <v>36</v>
      </c>
      <c r="B38" s="11" t="s">
        <v>13</v>
      </c>
      <c r="C38" s="15" t="s">
        <v>335</v>
      </c>
      <c r="D38" s="16">
        <v>6</v>
      </c>
      <c r="E38" s="16">
        <v>77</v>
      </c>
      <c r="F38" s="10" t="s">
        <v>13</v>
      </c>
      <c r="G38" s="18">
        <v>2</v>
      </c>
      <c r="H38" s="18">
        <v>2</v>
      </c>
      <c r="I38" s="11" t="s">
        <v>13</v>
      </c>
      <c r="J38" s="18">
        <v>1</v>
      </c>
      <c r="K38" s="11">
        <v>4</v>
      </c>
      <c r="L38" s="16">
        <v>1376</v>
      </c>
      <c r="M38" s="18">
        <v>231</v>
      </c>
      <c r="N38" s="13">
        <v>46171</v>
      </c>
      <c r="O38" s="39" t="s">
        <v>183</v>
      </c>
    </row>
    <row r="39" spans="1:15" ht="24.75" customHeight="1">
      <c r="A39" s="59"/>
      <c r="B39" s="60" t="s">
        <v>14</v>
      </c>
      <c r="C39" s="61" t="s">
        <v>324</v>
      </c>
      <c r="D39" s="27">
        <f>SUBTOTAL(109,Table132456789101112131415161718192021222324252627[Pajamos 
(GBO)])</f>
        <v>110851.09999999999</v>
      </c>
      <c r="E39" s="27">
        <f>SUBTOTAL(109,Table132456789101112131415161718192021222324252627[Pajamos 
praeita sav.
(GBO LW)])</f>
        <v>151698.71000000002</v>
      </c>
      <c r="F39" s="62">
        <f>(D39-E39)/E39</f>
        <v>-0.26926801157373076</v>
      </c>
      <c r="G39" s="34">
        <f>SUBTOTAL(109,Table132456789101112131415161718192021222324252627[Žiūrovų sk. 
(ADM)])</f>
        <v>15282</v>
      </c>
      <c r="H39" s="63"/>
      <c r="I39" s="59"/>
      <c r="J39" s="63"/>
      <c r="K39" s="64"/>
      <c r="L39" s="65"/>
      <c r="M39" s="63"/>
      <c r="N39" s="66"/>
      <c r="O39" s="67"/>
    </row>
    <row r="40" spans="1:15"/>
    <row r="41" spans="1:15"/>
    <row r="42" spans="1:15" ht="9" customHeight="1"/>
    <row r="43" spans="1:15"/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</sheetData>
  <mergeCells count="1">
    <mergeCell ref="A1:O1"/>
  </mergeCells>
  <conditionalFormatting sqref="C29">
    <cfRule type="duplicateValues" dxfId="13" priority="2"/>
  </conditionalFormatting>
  <conditionalFormatting sqref="C37">
    <cfRule type="duplicateValues" dxfId="12" priority="1"/>
  </conditionalFormatting>
  <pageMargins left="0.7" right="0.7" top="0.75" bottom="0.75" header="0.3" footer="0.3"/>
  <legacy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AF918-FE83-47E4-8F5E-37391C1EC4A7}">
  <dimension ref="A1:XFC395"/>
  <sheetViews>
    <sheetView topLeftCell="A22" zoomScale="70" zoomScaleNormal="70" workbookViewId="0">
      <selection activeCell="C39" sqref="C39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325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9" t="s">
        <v>49</v>
      </c>
      <c r="C3" s="15" t="s">
        <v>326</v>
      </c>
      <c r="D3" s="16">
        <v>56479.55</v>
      </c>
      <c r="E3" s="11" t="s">
        <v>13</v>
      </c>
      <c r="F3" s="11" t="s">
        <v>13</v>
      </c>
      <c r="G3" s="18">
        <v>8953</v>
      </c>
      <c r="H3" s="11">
        <v>241</v>
      </c>
      <c r="I3" s="12">
        <f t="shared" ref="I3:I14" si="0">G3/H3</f>
        <v>37.149377593360995</v>
      </c>
      <c r="J3" s="11">
        <v>27</v>
      </c>
      <c r="K3" s="12">
        <v>1</v>
      </c>
      <c r="L3" s="9">
        <v>80438</v>
      </c>
      <c r="M3" s="11">
        <v>13097</v>
      </c>
      <c r="N3" s="13">
        <v>46192</v>
      </c>
      <c r="O3" s="39" t="s">
        <v>37</v>
      </c>
    </row>
    <row r="4" spans="1:15" s="2" customFormat="1" ht="24.9" customHeight="1">
      <c r="A4" s="14">
        <v>2</v>
      </c>
      <c r="B4" s="14">
        <v>1</v>
      </c>
      <c r="C4" s="15" t="s">
        <v>321</v>
      </c>
      <c r="D4" s="16">
        <v>29280.83</v>
      </c>
      <c r="E4" s="16">
        <v>70555.67</v>
      </c>
      <c r="F4" s="10">
        <f t="shared" ref="F4:F10" si="1">(D4-E4)/E4</f>
        <v>-0.58499678339104422</v>
      </c>
      <c r="G4" s="18">
        <v>3403</v>
      </c>
      <c r="H4" s="18">
        <v>105</v>
      </c>
      <c r="I4" s="19">
        <f t="shared" si="0"/>
        <v>32.409523809523812</v>
      </c>
      <c r="J4" s="18">
        <v>16</v>
      </c>
      <c r="K4" s="19">
        <v>2</v>
      </c>
      <c r="L4" s="9">
        <v>179162</v>
      </c>
      <c r="M4" s="11">
        <v>22335</v>
      </c>
      <c r="N4" s="20">
        <v>46185</v>
      </c>
      <c r="O4" s="39" t="s">
        <v>94</v>
      </c>
    </row>
    <row r="5" spans="1:15" s="2" customFormat="1" ht="24.9" customHeight="1">
      <c r="A5" s="14">
        <v>3</v>
      </c>
      <c r="B5" s="14">
        <v>3</v>
      </c>
      <c r="C5" s="15" t="s">
        <v>322</v>
      </c>
      <c r="D5" s="16">
        <v>13983.16</v>
      </c>
      <c r="E5" s="16">
        <v>44402.59</v>
      </c>
      <c r="F5" s="10">
        <f t="shared" si="1"/>
        <v>-0.68508233416113784</v>
      </c>
      <c r="G5" s="18">
        <v>1592</v>
      </c>
      <c r="H5" s="18">
        <v>90</v>
      </c>
      <c r="I5" s="19">
        <f t="shared" si="0"/>
        <v>17.68888888888889</v>
      </c>
      <c r="J5" s="18">
        <v>17</v>
      </c>
      <c r="K5" s="19">
        <v>2</v>
      </c>
      <c r="L5" s="9">
        <v>90905</v>
      </c>
      <c r="M5" s="11">
        <v>11325</v>
      </c>
      <c r="N5" s="20">
        <v>46183</v>
      </c>
      <c r="O5" s="39" t="s">
        <v>207</v>
      </c>
    </row>
    <row r="6" spans="1:15" s="2" customFormat="1" ht="24.9" customHeight="1">
      <c r="A6" s="14">
        <v>4</v>
      </c>
      <c r="B6" s="14">
        <v>2</v>
      </c>
      <c r="C6" s="15" t="s">
        <v>309</v>
      </c>
      <c r="D6" s="16">
        <v>13060.48</v>
      </c>
      <c r="E6" s="16">
        <v>46372.47</v>
      </c>
      <c r="F6" s="10">
        <f t="shared" si="1"/>
        <v>-0.71835703381769411</v>
      </c>
      <c r="G6" s="18">
        <v>1551</v>
      </c>
      <c r="H6" s="18">
        <v>77</v>
      </c>
      <c r="I6" s="19">
        <f t="shared" si="0"/>
        <v>20.142857142857142</v>
      </c>
      <c r="J6" s="18">
        <v>12</v>
      </c>
      <c r="K6" s="19">
        <v>3</v>
      </c>
      <c r="L6" s="16">
        <v>239711</v>
      </c>
      <c r="M6" s="18">
        <v>28432</v>
      </c>
      <c r="N6" s="20">
        <v>46178</v>
      </c>
      <c r="O6" s="40" t="s">
        <v>310</v>
      </c>
    </row>
    <row r="7" spans="1:15" s="2" customFormat="1" ht="24.9" customHeight="1">
      <c r="A7" s="14">
        <v>5</v>
      </c>
      <c r="B7" s="14">
        <v>5</v>
      </c>
      <c r="C7" s="15" t="s">
        <v>294</v>
      </c>
      <c r="D7" s="16">
        <v>10890.25</v>
      </c>
      <c r="E7" s="16">
        <v>22565.35</v>
      </c>
      <c r="F7" s="10">
        <f t="shared" si="1"/>
        <v>-0.51739060107642909</v>
      </c>
      <c r="G7" s="18">
        <v>1370</v>
      </c>
      <c r="H7" s="18">
        <v>52</v>
      </c>
      <c r="I7" s="19">
        <f t="shared" si="0"/>
        <v>26.346153846153847</v>
      </c>
      <c r="J7" s="18">
        <v>10</v>
      </c>
      <c r="K7" s="19">
        <v>4</v>
      </c>
      <c r="L7" s="16">
        <v>246028.16</v>
      </c>
      <c r="M7" s="18">
        <v>32279</v>
      </c>
      <c r="N7" s="20">
        <v>46171</v>
      </c>
      <c r="O7" s="40" t="s">
        <v>46</v>
      </c>
    </row>
    <row r="8" spans="1:15" s="2" customFormat="1" ht="24.9" customHeight="1">
      <c r="A8" s="14">
        <v>6</v>
      </c>
      <c r="B8" s="14">
        <v>4</v>
      </c>
      <c r="C8" s="8" t="s">
        <v>251</v>
      </c>
      <c r="D8" s="16">
        <v>9723.2900000000009</v>
      </c>
      <c r="E8" s="9">
        <v>23740</v>
      </c>
      <c r="F8" s="10">
        <f t="shared" si="1"/>
        <v>-0.59042586352148274</v>
      </c>
      <c r="G8" s="11">
        <v>1282</v>
      </c>
      <c r="H8" s="11">
        <v>46</v>
      </c>
      <c r="I8" s="19">
        <f t="shared" si="0"/>
        <v>27.869565217391305</v>
      </c>
      <c r="J8" s="11">
        <v>11</v>
      </c>
      <c r="K8" s="12">
        <v>9</v>
      </c>
      <c r="L8" s="9">
        <v>619086</v>
      </c>
      <c r="M8" s="11">
        <v>80683</v>
      </c>
      <c r="N8" s="13">
        <v>46136</v>
      </c>
      <c r="O8" s="39" t="s">
        <v>207</v>
      </c>
    </row>
    <row r="9" spans="1:15" s="2" customFormat="1" ht="24.9" customHeight="1">
      <c r="A9" s="14">
        <v>7</v>
      </c>
      <c r="B9" s="14">
        <v>8</v>
      </c>
      <c r="C9" s="8" t="s">
        <v>263</v>
      </c>
      <c r="D9" s="16">
        <v>4056.38</v>
      </c>
      <c r="E9" s="9">
        <v>14715.98</v>
      </c>
      <c r="F9" s="10">
        <f t="shared" si="1"/>
        <v>-0.72435542858851387</v>
      </c>
      <c r="G9" s="11">
        <v>539</v>
      </c>
      <c r="H9" s="11">
        <v>25</v>
      </c>
      <c r="I9" s="19">
        <f t="shared" si="0"/>
        <v>21.56</v>
      </c>
      <c r="J9" s="11">
        <v>8</v>
      </c>
      <c r="K9" s="12">
        <v>8</v>
      </c>
      <c r="L9" s="9">
        <v>913230</v>
      </c>
      <c r="M9" s="11">
        <v>108856</v>
      </c>
      <c r="N9" s="13">
        <v>46143</v>
      </c>
      <c r="O9" s="39" t="s">
        <v>37</v>
      </c>
    </row>
    <row r="10" spans="1:15" s="2" customFormat="1" ht="24.9" customHeight="1">
      <c r="A10" s="14">
        <v>8</v>
      </c>
      <c r="B10" s="14">
        <v>7</v>
      </c>
      <c r="C10" s="8" t="s">
        <v>290</v>
      </c>
      <c r="D10" s="16">
        <v>2690.81</v>
      </c>
      <c r="E10" s="9">
        <v>17036.39</v>
      </c>
      <c r="F10" s="10">
        <f t="shared" si="1"/>
        <v>-0.84205515370333739</v>
      </c>
      <c r="G10" s="11">
        <v>437</v>
      </c>
      <c r="H10" s="11">
        <v>52</v>
      </c>
      <c r="I10" s="19">
        <f t="shared" si="0"/>
        <v>8.4038461538461533</v>
      </c>
      <c r="J10" s="11">
        <v>11</v>
      </c>
      <c r="K10" s="12">
        <v>4</v>
      </c>
      <c r="L10" s="9">
        <v>84593.76</v>
      </c>
      <c r="M10" s="11">
        <v>16249</v>
      </c>
      <c r="N10" s="13">
        <v>46171</v>
      </c>
      <c r="O10" s="39" t="s">
        <v>42</v>
      </c>
    </row>
    <row r="11" spans="1:15" s="2" customFormat="1" ht="24.9" customHeight="1">
      <c r="A11" s="14">
        <v>9</v>
      </c>
      <c r="B11" s="18" t="s">
        <v>49</v>
      </c>
      <c r="C11" s="15" t="s">
        <v>329</v>
      </c>
      <c r="D11" s="16">
        <v>2169.1999999999998</v>
      </c>
      <c r="E11" s="11" t="s">
        <v>13</v>
      </c>
      <c r="F11" s="11" t="s">
        <v>13</v>
      </c>
      <c r="G11" s="18">
        <v>283</v>
      </c>
      <c r="H11" s="11">
        <v>50</v>
      </c>
      <c r="I11" s="12">
        <f t="shared" si="0"/>
        <v>5.66</v>
      </c>
      <c r="J11" s="11">
        <v>17</v>
      </c>
      <c r="K11" s="11">
        <v>1</v>
      </c>
      <c r="L11" s="9">
        <v>2169.1999999999998</v>
      </c>
      <c r="M11" s="11">
        <v>283</v>
      </c>
      <c r="N11" s="13">
        <v>46192</v>
      </c>
      <c r="O11" s="39" t="s">
        <v>46</v>
      </c>
    </row>
    <row r="12" spans="1:15" s="2" customFormat="1" ht="24.9" customHeight="1">
      <c r="A12" s="14">
        <v>10</v>
      </c>
      <c r="B12" s="14">
        <v>6</v>
      </c>
      <c r="C12" s="15" t="s">
        <v>306</v>
      </c>
      <c r="D12" s="16">
        <v>2158.6799999999998</v>
      </c>
      <c r="E12" s="16">
        <v>17933.8</v>
      </c>
      <c r="F12" s="10">
        <f>(D12-E12)/E12</f>
        <v>-0.87963064158181759</v>
      </c>
      <c r="G12" s="18">
        <v>382</v>
      </c>
      <c r="H12" s="18">
        <v>39</v>
      </c>
      <c r="I12" s="19">
        <f t="shared" si="0"/>
        <v>9.7948717948717956</v>
      </c>
      <c r="J12" s="18">
        <v>12</v>
      </c>
      <c r="K12" s="19">
        <v>3</v>
      </c>
      <c r="L12" s="16">
        <v>63214.69</v>
      </c>
      <c r="M12" s="18">
        <v>11796</v>
      </c>
      <c r="N12" s="20">
        <v>46178</v>
      </c>
      <c r="O12" s="40" t="s">
        <v>42</v>
      </c>
    </row>
    <row r="13" spans="1:15" s="2" customFormat="1" ht="24.9" customHeight="1">
      <c r="A13" s="14">
        <v>11</v>
      </c>
      <c r="B13" s="19" t="s">
        <v>49</v>
      </c>
      <c r="C13" s="81" t="s">
        <v>330</v>
      </c>
      <c r="D13" s="16">
        <v>2012.7</v>
      </c>
      <c r="E13" s="11" t="s">
        <v>13</v>
      </c>
      <c r="F13" s="11" t="s">
        <v>13</v>
      </c>
      <c r="G13" s="18">
        <v>274</v>
      </c>
      <c r="H13" s="11">
        <v>52</v>
      </c>
      <c r="I13" s="12">
        <f t="shared" si="0"/>
        <v>5.2692307692307692</v>
      </c>
      <c r="J13" s="11">
        <v>14</v>
      </c>
      <c r="K13" s="11">
        <v>1</v>
      </c>
      <c r="L13" s="9">
        <v>2118</v>
      </c>
      <c r="M13" s="11">
        <v>287</v>
      </c>
      <c r="N13" s="13">
        <v>46192</v>
      </c>
      <c r="O13" s="39" t="s">
        <v>42</v>
      </c>
    </row>
    <row r="14" spans="1:15" s="2" customFormat="1" ht="24.9" customHeight="1">
      <c r="A14" s="14">
        <v>12</v>
      </c>
      <c r="B14" s="14">
        <v>9</v>
      </c>
      <c r="C14" s="8" t="s">
        <v>262</v>
      </c>
      <c r="D14" s="16">
        <v>1474.72</v>
      </c>
      <c r="E14" s="9">
        <v>9022.99</v>
      </c>
      <c r="F14" s="10">
        <f>(D14-E14)/E14</f>
        <v>-0.83655972133405887</v>
      </c>
      <c r="G14" s="11">
        <v>214</v>
      </c>
      <c r="H14" s="11">
        <v>23</v>
      </c>
      <c r="I14" s="19">
        <f t="shared" si="0"/>
        <v>9.304347826086957</v>
      </c>
      <c r="J14" s="11">
        <v>6</v>
      </c>
      <c r="K14" s="12">
        <v>7</v>
      </c>
      <c r="L14" s="9">
        <v>125674.53</v>
      </c>
      <c r="M14" s="11">
        <v>21487</v>
      </c>
      <c r="N14" s="13">
        <v>46150</v>
      </c>
      <c r="O14" s="39" t="s">
        <v>39</v>
      </c>
    </row>
    <row r="15" spans="1:15" s="1" customFormat="1" ht="24.9" customHeight="1">
      <c r="A15" s="14">
        <v>13</v>
      </c>
      <c r="B15" s="14">
        <v>11</v>
      </c>
      <c r="C15" s="15" t="s">
        <v>318</v>
      </c>
      <c r="D15" s="16">
        <v>952</v>
      </c>
      <c r="E15" s="16">
        <v>7037</v>
      </c>
      <c r="F15" s="10">
        <f>(D15-E15)/E15</f>
        <v>-0.86471507744777609</v>
      </c>
      <c r="G15" s="18">
        <v>167</v>
      </c>
      <c r="H15" s="16"/>
      <c r="I15" s="16" t="s">
        <v>13</v>
      </c>
      <c r="J15" s="18">
        <v>10</v>
      </c>
      <c r="K15" s="19">
        <v>2</v>
      </c>
      <c r="L15" s="9">
        <v>12869</v>
      </c>
      <c r="M15" s="11">
        <v>2066</v>
      </c>
      <c r="N15" s="20">
        <v>46185</v>
      </c>
      <c r="O15" s="39" t="s">
        <v>44</v>
      </c>
    </row>
    <row r="16" spans="1:15" s="1" customFormat="1" ht="24.9" customHeight="1">
      <c r="A16" s="14">
        <v>14</v>
      </c>
      <c r="B16" s="14">
        <v>10</v>
      </c>
      <c r="C16" s="8" t="s">
        <v>216</v>
      </c>
      <c r="D16" s="16">
        <v>842.64</v>
      </c>
      <c r="E16" s="9">
        <v>8111.58</v>
      </c>
      <c r="F16" s="10">
        <f>(D16-E16)/E16</f>
        <v>-0.89611888189477262</v>
      </c>
      <c r="G16" s="11">
        <v>143</v>
      </c>
      <c r="H16" s="11">
        <v>11</v>
      </c>
      <c r="I16" s="19">
        <f>G16/H16</f>
        <v>13</v>
      </c>
      <c r="J16" s="11">
        <v>4</v>
      </c>
      <c r="K16" s="12">
        <v>13</v>
      </c>
      <c r="L16" s="9">
        <v>525808</v>
      </c>
      <c r="M16" s="11">
        <v>84691</v>
      </c>
      <c r="N16" s="13">
        <v>46113</v>
      </c>
      <c r="O16" s="39" t="s">
        <v>207</v>
      </c>
    </row>
    <row r="17" spans="1:15" s="1" customFormat="1" ht="24.9" customHeight="1">
      <c r="A17" s="14">
        <v>15</v>
      </c>
      <c r="B17" s="19" t="s">
        <v>49</v>
      </c>
      <c r="C17" s="15" t="s">
        <v>328</v>
      </c>
      <c r="D17" s="82">
        <v>710.84</v>
      </c>
      <c r="E17" s="11" t="s">
        <v>13</v>
      </c>
      <c r="F17" s="11" t="s">
        <v>13</v>
      </c>
      <c r="G17" s="83">
        <v>106</v>
      </c>
      <c r="H17" s="83">
        <v>17</v>
      </c>
      <c r="I17" s="12">
        <f>G17/H17</f>
        <v>6.2352941176470589</v>
      </c>
      <c r="J17" s="83">
        <v>8</v>
      </c>
      <c r="K17" s="83">
        <v>1</v>
      </c>
      <c r="L17" s="82">
        <v>710.84</v>
      </c>
      <c r="M17" s="11">
        <v>106</v>
      </c>
      <c r="N17" s="13">
        <v>46192</v>
      </c>
      <c r="O17" s="39" t="s">
        <v>43</v>
      </c>
    </row>
    <row r="18" spans="1:15" ht="24.9" customHeight="1">
      <c r="A18" s="14">
        <v>16</v>
      </c>
      <c r="B18" s="14">
        <v>12</v>
      </c>
      <c r="C18" s="8" t="s">
        <v>292</v>
      </c>
      <c r="D18" s="16">
        <v>560.39</v>
      </c>
      <c r="E18" s="9">
        <v>5260.98</v>
      </c>
      <c r="F18" s="10">
        <f>(D18-E18)/E18</f>
        <v>-0.8934818227782656</v>
      </c>
      <c r="G18" s="11">
        <v>74</v>
      </c>
      <c r="H18" s="11">
        <v>5</v>
      </c>
      <c r="I18" s="19">
        <f>G18/H18</f>
        <v>14.8</v>
      </c>
      <c r="J18" s="11">
        <v>3</v>
      </c>
      <c r="K18" s="12">
        <v>5</v>
      </c>
      <c r="L18" s="9">
        <v>105123</v>
      </c>
      <c r="M18" s="11">
        <v>12236</v>
      </c>
      <c r="N18" s="13">
        <v>46164</v>
      </c>
      <c r="O18" s="39" t="s">
        <v>37</v>
      </c>
    </row>
    <row r="19" spans="1:15" s="1" customFormat="1" ht="24.9" customHeight="1">
      <c r="A19" s="14">
        <v>17</v>
      </c>
      <c r="B19" s="11" t="s">
        <v>13</v>
      </c>
      <c r="C19" s="84" t="s">
        <v>69</v>
      </c>
      <c r="D19" s="16">
        <v>375</v>
      </c>
      <c r="E19" s="11" t="s">
        <v>13</v>
      </c>
      <c r="F19" s="11" t="s">
        <v>13</v>
      </c>
      <c r="G19" s="18">
        <v>157</v>
      </c>
      <c r="H19" s="11" t="s">
        <v>13</v>
      </c>
      <c r="I19" s="11" t="s">
        <v>13</v>
      </c>
      <c r="J19" s="11">
        <v>4</v>
      </c>
      <c r="K19" s="11" t="s">
        <v>13</v>
      </c>
      <c r="L19" s="9">
        <v>114480</v>
      </c>
      <c r="M19" s="11">
        <v>21661</v>
      </c>
      <c r="N19" s="20">
        <v>45954</v>
      </c>
      <c r="O19" s="40" t="s">
        <v>44</v>
      </c>
    </row>
    <row r="20" spans="1:15" ht="24.9" customHeight="1">
      <c r="A20" s="14">
        <v>18</v>
      </c>
      <c r="B20" s="14">
        <v>13</v>
      </c>
      <c r="C20" s="15" t="s">
        <v>307</v>
      </c>
      <c r="D20" s="16">
        <v>357.6</v>
      </c>
      <c r="E20" s="16">
        <v>4007.74</v>
      </c>
      <c r="F20" s="10">
        <f>(D20-E20)/E20</f>
        <v>-0.91077265491274384</v>
      </c>
      <c r="G20" s="18">
        <v>50</v>
      </c>
      <c r="H20" s="18">
        <v>2</v>
      </c>
      <c r="I20" s="19">
        <f>G20/H20</f>
        <v>25</v>
      </c>
      <c r="J20" s="18">
        <v>1</v>
      </c>
      <c r="K20" s="19">
        <v>3</v>
      </c>
      <c r="L20" s="16">
        <v>19663.5</v>
      </c>
      <c r="M20" s="18">
        <v>2788</v>
      </c>
      <c r="N20" s="20">
        <v>46178</v>
      </c>
      <c r="O20" s="40" t="s">
        <v>39</v>
      </c>
    </row>
    <row r="21" spans="1:15" ht="24.9" customHeight="1">
      <c r="A21" s="14">
        <v>19</v>
      </c>
      <c r="B21" s="14">
        <v>16</v>
      </c>
      <c r="C21" s="8" t="s">
        <v>235</v>
      </c>
      <c r="D21" s="16">
        <v>282.88</v>
      </c>
      <c r="E21" s="9">
        <v>799.3</v>
      </c>
      <c r="F21" s="10">
        <f>(D21-E21)/E21</f>
        <v>-0.6460903290379082</v>
      </c>
      <c r="G21" s="11">
        <v>43</v>
      </c>
      <c r="H21" s="11">
        <v>4</v>
      </c>
      <c r="I21" s="19">
        <f>G21/H21</f>
        <v>10.75</v>
      </c>
      <c r="J21" s="11">
        <v>2</v>
      </c>
      <c r="K21" s="12">
        <v>10</v>
      </c>
      <c r="L21" s="9">
        <v>198921.07</v>
      </c>
      <c r="M21" s="11">
        <v>27501</v>
      </c>
      <c r="N21" s="13">
        <v>46122</v>
      </c>
      <c r="O21" s="39" t="s">
        <v>47</v>
      </c>
    </row>
    <row r="22" spans="1:15" ht="37.200000000000003" customHeight="1">
      <c r="A22" s="14">
        <v>20</v>
      </c>
      <c r="B22" s="14">
        <v>17</v>
      </c>
      <c r="C22" s="15" t="s">
        <v>296</v>
      </c>
      <c r="D22" s="16">
        <v>281.07</v>
      </c>
      <c r="E22" s="16">
        <v>770.22</v>
      </c>
      <c r="F22" s="10">
        <f>(D22-E22)/E22</f>
        <v>-0.6350782893199346</v>
      </c>
      <c r="G22" s="18">
        <v>35</v>
      </c>
      <c r="H22" s="18">
        <v>2</v>
      </c>
      <c r="I22" s="19">
        <f>G22/H22</f>
        <v>17.5</v>
      </c>
      <c r="J22" s="18">
        <v>1</v>
      </c>
      <c r="K22" s="19">
        <v>4</v>
      </c>
      <c r="L22" s="16">
        <v>22604.51</v>
      </c>
      <c r="M22" s="18">
        <v>3160</v>
      </c>
      <c r="N22" s="20">
        <v>46171</v>
      </c>
      <c r="O22" s="40" t="s">
        <v>42</v>
      </c>
    </row>
    <row r="23" spans="1:15" ht="24.9" customHeight="1">
      <c r="A23" s="14">
        <v>21</v>
      </c>
      <c r="B23" s="11" t="s">
        <v>13</v>
      </c>
      <c r="C23" s="15" t="s">
        <v>331</v>
      </c>
      <c r="D23" s="16">
        <v>245</v>
      </c>
      <c r="E23" s="11" t="s">
        <v>13</v>
      </c>
      <c r="F23" s="11" t="s">
        <v>13</v>
      </c>
      <c r="G23" s="18">
        <v>106</v>
      </c>
      <c r="H23" s="11" t="s">
        <v>13</v>
      </c>
      <c r="I23" s="11" t="s">
        <v>13</v>
      </c>
      <c r="J23" s="11">
        <v>4</v>
      </c>
      <c r="K23" s="11" t="s">
        <v>13</v>
      </c>
      <c r="L23" s="9">
        <v>24327</v>
      </c>
      <c r="M23" s="11">
        <v>4625</v>
      </c>
      <c r="N23" s="13">
        <v>45919</v>
      </c>
      <c r="O23" s="39" t="s">
        <v>44</v>
      </c>
    </row>
    <row r="24" spans="1:15" ht="24.9" customHeight="1">
      <c r="A24" s="14">
        <v>22</v>
      </c>
      <c r="B24" s="14">
        <v>35</v>
      </c>
      <c r="C24" s="8" t="s">
        <v>191</v>
      </c>
      <c r="D24" s="16">
        <v>153.43</v>
      </c>
      <c r="E24" s="9">
        <v>35.799999999999997</v>
      </c>
      <c r="F24" s="10">
        <f>(D24-E24)/E24</f>
        <v>3.2857541899441345</v>
      </c>
      <c r="G24" s="11">
        <v>25</v>
      </c>
      <c r="H24" s="11">
        <v>2</v>
      </c>
      <c r="I24" s="19">
        <f>G24/H24</f>
        <v>12.5</v>
      </c>
      <c r="J24" s="11">
        <v>2</v>
      </c>
      <c r="K24" s="18" t="s">
        <v>13</v>
      </c>
      <c r="L24" s="9">
        <v>49751.71</v>
      </c>
      <c r="M24" s="11">
        <v>7028</v>
      </c>
      <c r="N24" s="13">
        <v>46104</v>
      </c>
      <c r="O24" s="39" t="s">
        <v>47</v>
      </c>
    </row>
    <row r="25" spans="1:15" ht="24.9" customHeight="1">
      <c r="A25" s="14">
        <v>23</v>
      </c>
      <c r="B25" s="14">
        <v>22</v>
      </c>
      <c r="C25" s="8" t="s">
        <v>243</v>
      </c>
      <c r="D25" s="82">
        <v>146.85</v>
      </c>
      <c r="E25" s="9">
        <v>363</v>
      </c>
      <c r="F25" s="10">
        <f>(D25-E25)/E25</f>
        <v>-0.59545454545454546</v>
      </c>
      <c r="G25" s="83">
        <v>20</v>
      </c>
      <c r="H25" s="83">
        <v>2</v>
      </c>
      <c r="I25" s="19">
        <f>G25/H25</f>
        <v>10</v>
      </c>
      <c r="J25" s="83">
        <v>2</v>
      </c>
      <c r="K25" s="12">
        <v>10</v>
      </c>
      <c r="L25" s="82">
        <v>6036.72</v>
      </c>
      <c r="M25" s="11">
        <v>1111</v>
      </c>
      <c r="N25" s="13">
        <v>46129</v>
      </c>
      <c r="O25" s="39" t="s">
        <v>43</v>
      </c>
    </row>
    <row r="26" spans="1:15" ht="24.9" customHeight="1">
      <c r="A26" s="14">
        <v>24</v>
      </c>
      <c r="B26" s="14">
        <v>18</v>
      </c>
      <c r="C26" s="8" t="s">
        <v>248</v>
      </c>
      <c r="D26" s="16">
        <v>146</v>
      </c>
      <c r="E26" s="9">
        <v>475</v>
      </c>
      <c r="F26" s="10">
        <f>(D26-E26)/E26</f>
        <v>-0.69263157894736838</v>
      </c>
      <c r="G26" s="11">
        <v>29</v>
      </c>
      <c r="H26" s="16"/>
      <c r="I26" s="16" t="s">
        <v>13</v>
      </c>
      <c r="J26" s="11">
        <v>2</v>
      </c>
      <c r="K26" s="12">
        <v>9</v>
      </c>
      <c r="L26" s="9">
        <v>74917</v>
      </c>
      <c r="M26" s="11">
        <v>13567</v>
      </c>
      <c r="N26" s="13">
        <v>46136</v>
      </c>
      <c r="O26" s="39" t="s">
        <v>44</v>
      </c>
    </row>
    <row r="27" spans="1:15" ht="24.9" customHeight="1">
      <c r="A27" s="14">
        <v>25</v>
      </c>
      <c r="B27" s="14">
        <v>28</v>
      </c>
      <c r="C27" s="8" t="s">
        <v>184</v>
      </c>
      <c r="D27" s="16">
        <v>131</v>
      </c>
      <c r="E27" s="9">
        <v>178</v>
      </c>
      <c r="F27" s="10">
        <f>(D27-E27)/E27</f>
        <v>-0.2640449438202247</v>
      </c>
      <c r="G27" s="11">
        <v>21</v>
      </c>
      <c r="H27" s="11">
        <v>1</v>
      </c>
      <c r="I27" s="19">
        <f t="shared" ref="I27:I39" si="2">G27/H27</f>
        <v>21</v>
      </c>
      <c r="J27" s="11">
        <v>1</v>
      </c>
      <c r="K27" s="12">
        <v>14</v>
      </c>
      <c r="L27" s="9">
        <v>699247.1</v>
      </c>
      <c r="M27" s="11">
        <v>79344</v>
      </c>
      <c r="N27" s="13">
        <v>46101</v>
      </c>
      <c r="O27" s="39" t="s">
        <v>39</v>
      </c>
    </row>
    <row r="28" spans="1:15" ht="24.9" customHeight="1">
      <c r="A28" s="14">
        <v>26</v>
      </c>
      <c r="B28" s="14">
        <v>27</v>
      </c>
      <c r="C28" s="77" t="s">
        <v>270</v>
      </c>
      <c r="D28" s="16">
        <v>99.86</v>
      </c>
      <c r="E28" s="16">
        <v>196.4</v>
      </c>
      <c r="F28" s="10">
        <f>(D28-E28)/E28</f>
        <v>-0.49154786150712831</v>
      </c>
      <c r="G28" s="18">
        <v>14</v>
      </c>
      <c r="H28" s="19">
        <v>1</v>
      </c>
      <c r="I28" s="19">
        <f t="shared" si="2"/>
        <v>14</v>
      </c>
      <c r="J28" s="18">
        <v>1</v>
      </c>
      <c r="K28" s="18" t="s">
        <v>13</v>
      </c>
      <c r="L28" s="16">
        <v>35645.42</v>
      </c>
      <c r="M28" s="18">
        <v>5535</v>
      </c>
      <c r="N28" s="20">
        <v>45926</v>
      </c>
      <c r="O28" s="40" t="s">
        <v>47</v>
      </c>
    </row>
    <row r="29" spans="1:15" ht="24.9" customHeight="1">
      <c r="A29" s="14">
        <v>27</v>
      </c>
      <c r="B29" s="11" t="s">
        <v>13</v>
      </c>
      <c r="C29" s="15" t="s">
        <v>78</v>
      </c>
      <c r="D29" s="16">
        <v>93.59</v>
      </c>
      <c r="E29" s="11" t="s">
        <v>13</v>
      </c>
      <c r="F29" s="11" t="s">
        <v>13</v>
      </c>
      <c r="G29" s="18">
        <v>15</v>
      </c>
      <c r="H29" s="11">
        <v>1</v>
      </c>
      <c r="I29" s="12">
        <f t="shared" si="2"/>
        <v>15</v>
      </c>
      <c r="J29" s="11">
        <v>1</v>
      </c>
      <c r="K29" s="11" t="s">
        <v>13</v>
      </c>
      <c r="L29" s="9">
        <v>153222.79</v>
      </c>
      <c r="M29" s="11">
        <v>21226</v>
      </c>
      <c r="N29" s="20">
        <v>46038</v>
      </c>
      <c r="O29" s="40" t="s">
        <v>47</v>
      </c>
    </row>
    <row r="30" spans="1:15" ht="24.9" customHeight="1">
      <c r="A30" s="14">
        <v>28</v>
      </c>
      <c r="B30" s="11" t="s">
        <v>13</v>
      </c>
      <c r="C30" s="85" t="s">
        <v>199</v>
      </c>
      <c r="D30" s="16">
        <v>77.400000000000006</v>
      </c>
      <c r="E30" s="11" t="s">
        <v>13</v>
      </c>
      <c r="F30" s="11" t="s">
        <v>13</v>
      </c>
      <c r="G30" s="18">
        <v>12</v>
      </c>
      <c r="H30" s="11">
        <v>1</v>
      </c>
      <c r="I30" s="12">
        <f t="shared" si="2"/>
        <v>12</v>
      </c>
      <c r="J30" s="11">
        <v>1</v>
      </c>
      <c r="K30" s="11" t="s">
        <v>13</v>
      </c>
      <c r="L30" s="9">
        <v>4080.64</v>
      </c>
      <c r="M30" s="11">
        <v>791</v>
      </c>
      <c r="N30" s="20">
        <v>46104</v>
      </c>
      <c r="O30" s="40" t="s">
        <v>47</v>
      </c>
    </row>
    <row r="31" spans="1:15" ht="24.9" customHeight="1">
      <c r="A31" s="14">
        <v>29</v>
      </c>
      <c r="B31" s="11" t="s">
        <v>13</v>
      </c>
      <c r="C31" s="15" t="s">
        <v>200</v>
      </c>
      <c r="D31" s="16">
        <v>66.05</v>
      </c>
      <c r="E31" s="11" t="s">
        <v>13</v>
      </c>
      <c r="F31" s="11" t="s">
        <v>13</v>
      </c>
      <c r="G31" s="18">
        <v>9</v>
      </c>
      <c r="H31" s="11">
        <v>1</v>
      </c>
      <c r="I31" s="12">
        <f t="shared" si="2"/>
        <v>9</v>
      </c>
      <c r="J31" s="11">
        <v>1</v>
      </c>
      <c r="K31" s="11" t="s">
        <v>13</v>
      </c>
      <c r="L31" s="9">
        <v>1821.15</v>
      </c>
      <c r="M31" s="11">
        <v>314</v>
      </c>
      <c r="N31" s="20">
        <v>46104</v>
      </c>
      <c r="O31" s="40" t="s">
        <v>47</v>
      </c>
    </row>
    <row r="32" spans="1:15" ht="24.9" customHeight="1">
      <c r="A32" s="14">
        <v>30</v>
      </c>
      <c r="B32" s="11" t="s">
        <v>13</v>
      </c>
      <c r="C32" s="15" t="s">
        <v>170</v>
      </c>
      <c r="D32" s="16">
        <v>55.8</v>
      </c>
      <c r="E32" s="11" t="s">
        <v>13</v>
      </c>
      <c r="F32" s="11" t="s">
        <v>13</v>
      </c>
      <c r="G32" s="18">
        <v>15</v>
      </c>
      <c r="H32" s="11">
        <v>1</v>
      </c>
      <c r="I32" s="12">
        <f t="shared" si="2"/>
        <v>15</v>
      </c>
      <c r="J32" s="11">
        <v>1</v>
      </c>
      <c r="K32" s="11" t="s">
        <v>13</v>
      </c>
      <c r="L32" s="9">
        <v>393449</v>
      </c>
      <c r="M32" s="11">
        <v>65699</v>
      </c>
      <c r="N32" s="20">
        <v>46087</v>
      </c>
      <c r="O32" s="40" t="s">
        <v>37</v>
      </c>
    </row>
    <row r="33" spans="1:15" ht="24.9" customHeight="1">
      <c r="A33" s="14">
        <v>31</v>
      </c>
      <c r="B33" s="11" t="s">
        <v>13</v>
      </c>
      <c r="C33" s="15" t="s">
        <v>327</v>
      </c>
      <c r="D33" s="16">
        <v>45</v>
      </c>
      <c r="E33" s="11" t="s">
        <v>13</v>
      </c>
      <c r="F33" s="11" t="s">
        <v>13</v>
      </c>
      <c r="G33" s="18">
        <v>9</v>
      </c>
      <c r="H33" s="11">
        <v>1</v>
      </c>
      <c r="I33" s="12">
        <f t="shared" si="2"/>
        <v>9</v>
      </c>
      <c r="J33" s="11">
        <v>1</v>
      </c>
      <c r="K33" s="11" t="s">
        <v>13</v>
      </c>
      <c r="L33" s="9">
        <v>2886</v>
      </c>
      <c r="M33" s="11">
        <v>468</v>
      </c>
      <c r="N33" s="20">
        <v>46080</v>
      </c>
      <c r="O33" s="40" t="s">
        <v>207</v>
      </c>
    </row>
    <row r="34" spans="1:15" ht="24.9" customHeight="1">
      <c r="A34" s="14">
        <v>32</v>
      </c>
      <c r="B34" s="14">
        <v>34</v>
      </c>
      <c r="C34" s="8" t="s">
        <v>257</v>
      </c>
      <c r="D34" s="16">
        <v>40</v>
      </c>
      <c r="E34" s="9">
        <v>42</v>
      </c>
      <c r="F34" s="10">
        <f>(D34-E34)/E34</f>
        <v>-4.7619047619047616E-2</v>
      </c>
      <c r="G34" s="11">
        <v>8</v>
      </c>
      <c r="H34" s="11">
        <v>2</v>
      </c>
      <c r="I34" s="19">
        <f t="shared" si="2"/>
        <v>4</v>
      </c>
      <c r="J34" s="11">
        <v>1</v>
      </c>
      <c r="K34" s="12">
        <v>8</v>
      </c>
      <c r="L34" s="9">
        <v>19375.060000000001</v>
      </c>
      <c r="M34" s="11">
        <v>3874</v>
      </c>
      <c r="N34" s="13">
        <v>46143</v>
      </c>
      <c r="O34" s="39" t="s">
        <v>46</v>
      </c>
    </row>
    <row r="35" spans="1:15" ht="24.9" customHeight="1">
      <c r="A35" s="14">
        <v>33</v>
      </c>
      <c r="B35" s="11" t="s">
        <v>13</v>
      </c>
      <c r="C35" s="77" t="s">
        <v>233</v>
      </c>
      <c r="D35" s="16">
        <v>31.93</v>
      </c>
      <c r="E35" s="11" t="s">
        <v>13</v>
      </c>
      <c r="F35" s="11" t="s">
        <v>13</v>
      </c>
      <c r="G35" s="18">
        <v>5</v>
      </c>
      <c r="H35" s="11">
        <v>1</v>
      </c>
      <c r="I35" s="12">
        <f t="shared" si="2"/>
        <v>5</v>
      </c>
      <c r="J35" s="11">
        <v>1</v>
      </c>
      <c r="K35" s="11" t="s">
        <v>13</v>
      </c>
      <c r="L35" s="9">
        <v>26698.42</v>
      </c>
      <c r="M35" s="11">
        <v>3654</v>
      </c>
      <c r="N35" s="20">
        <v>46104</v>
      </c>
      <c r="O35" s="40" t="s">
        <v>47</v>
      </c>
    </row>
    <row r="36" spans="1:15" ht="24.9" customHeight="1">
      <c r="A36" s="14">
        <v>34</v>
      </c>
      <c r="B36" s="14">
        <v>26</v>
      </c>
      <c r="C36" s="15" t="s">
        <v>84</v>
      </c>
      <c r="D36" s="16">
        <v>26.85</v>
      </c>
      <c r="E36" s="16">
        <v>213.75</v>
      </c>
      <c r="F36" s="10">
        <f>(D36-E36)/E36</f>
        <v>-0.87438596491228071</v>
      </c>
      <c r="G36" s="18">
        <v>3</v>
      </c>
      <c r="H36" s="18">
        <v>1</v>
      </c>
      <c r="I36" s="19">
        <f t="shared" si="2"/>
        <v>3</v>
      </c>
      <c r="J36" s="18">
        <v>1</v>
      </c>
      <c r="K36" s="18" t="s">
        <v>13</v>
      </c>
      <c r="L36" s="9">
        <v>41175</v>
      </c>
      <c r="M36" s="11">
        <v>6528</v>
      </c>
      <c r="N36" s="20">
        <v>46038</v>
      </c>
      <c r="O36" s="40" t="s">
        <v>207</v>
      </c>
    </row>
    <row r="37" spans="1:15" ht="24.9" customHeight="1">
      <c r="A37" s="14">
        <v>35</v>
      </c>
      <c r="B37" s="11" t="s">
        <v>13</v>
      </c>
      <c r="C37" s="77" t="s">
        <v>332</v>
      </c>
      <c r="D37" s="16">
        <v>26</v>
      </c>
      <c r="E37" s="11" t="s">
        <v>13</v>
      </c>
      <c r="F37" s="11" t="s">
        <v>13</v>
      </c>
      <c r="G37" s="18">
        <v>6</v>
      </c>
      <c r="H37" s="11">
        <v>1</v>
      </c>
      <c r="I37" s="12">
        <f t="shared" si="2"/>
        <v>6</v>
      </c>
      <c r="J37" s="11">
        <v>1</v>
      </c>
      <c r="K37" s="11" t="s">
        <v>13</v>
      </c>
      <c r="L37" s="9">
        <v>9588.65</v>
      </c>
      <c r="M37" s="11">
        <v>1270</v>
      </c>
      <c r="N37" s="20">
        <v>46104</v>
      </c>
      <c r="O37" s="40" t="s">
        <v>47</v>
      </c>
    </row>
    <row r="38" spans="1:15" ht="24.9" customHeight="1">
      <c r="A38" s="14">
        <v>36</v>
      </c>
      <c r="B38" s="11" t="s">
        <v>13</v>
      </c>
      <c r="C38" s="15" t="s">
        <v>300</v>
      </c>
      <c r="D38" s="16">
        <v>12</v>
      </c>
      <c r="E38" s="11" t="s">
        <v>13</v>
      </c>
      <c r="F38" s="11" t="s">
        <v>13</v>
      </c>
      <c r="G38" s="18">
        <v>3</v>
      </c>
      <c r="H38" s="11">
        <v>1</v>
      </c>
      <c r="I38" s="12">
        <f t="shared" si="2"/>
        <v>3</v>
      </c>
      <c r="J38" s="11">
        <v>1</v>
      </c>
      <c r="K38" s="11" t="s">
        <v>13</v>
      </c>
      <c r="L38" s="9">
        <v>379</v>
      </c>
      <c r="M38" s="11">
        <v>72</v>
      </c>
      <c r="N38" s="20">
        <v>46104</v>
      </c>
      <c r="O38" s="40" t="s">
        <v>47</v>
      </c>
    </row>
    <row r="39" spans="1:15" ht="24.9" customHeight="1">
      <c r="A39" s="14">
        <v>37</v>
      </c>
      <c r="B39" s="11" t="s">
        <v>13</v>
      </c>
      <c r="C39" s="81" t="s">
        <v>333</v>
      </c>
      <c r="D39" s="16">
        <v>11</v>
      </c>
      <c r="E39" s="11" t="s">
        <v>13</v>
      </c>
      <c r="F39" s="11" t="s">
        <v>13</v>
      </c>
      <c r="G39" s="18">
        <v>3</v>
      </c>
      <c r="H39" s="11">
        <v>1</v>
      </c>
      <c r="I39" s="12">
        <f t="shared" si="2"/>
        <v>3</v>
      </c>
      <c r="J39" s="11">
        <v>1</v>
      </c>
      <c r="K39" s="11" t="s">
        <v>13</v>
      </c>
      <c r="L39" s="9">
        <v>59.5</v>
      </c>
      <c r="M39" s="11">
        <v>13</v>
      </c>
      <c r="N39" s="20">
        <v>46104</v>
      </c>
      <c r="O39" s="40" t="s">
        <v>47</v>
      </c>
    </row>
    <row r="40" spans="1:15" ht="24.75" customHeight="1">
      <c r="A40" s="59"/>
      <c r="B40" s="60" t="s">
        <v>14</v>
      </c>
      <c r="C40" s="61" t="s">
        <v>146</v>
      </c>
      <c r="D40" s="27">
        <f>SUBTOTAL(109,Table1324567891011121314151617181920212223242526[Pajamos 
(GBO)])</f>
        <v>153750.23000000001</v>
      </c>
      <c r="E40" s="27">
        <f>SUBTOTAL(109,Table1324567891011121314151617181920212223242526[Pajamos 
praeita sav.
(GBO LW)])</f>
        <v>293836.00999999995</v>
      </c>
      <c r="F40" s="62">
        <f>(D40-E40)/E40</f>
        <v>-0.47674816983799895</v>
      </c>
      <c r="G40" s="34">
        <f>SUBTOTAL(109,Table1324567891011121314151617181920212223242526[Žiūrovų sk. 
(ADM)])</f>
        <v>21358</v>
      </c>
      <c r="H40" s="63"/>
      <c r="I40" s="59"/>
      <c r="J40" s="63"/>
      <c r="K40" s="64"/>
      <c r="L40" s="65"/>
      <c r="M40" s="63"/>
      <c r="N40" s="66"/>
      <c r="O40" s="67"/>
    </row>
    <row r="41" spans="1:15"/>
    <row r="42" spans="1:15"/>
    <row r="43" spans="1:15" ht="9" customHeight="1"/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</sheetData>
  <mergeCells count="1">
    <mergeCell ref="A1:O1"/>
  </mergeCells>
  <conditionalFormatting sqref="C32">
    <cfRule type="duplicateValues" dxfId="11" priority="7"/>
  </conditionalFormatting>
  <conditionalFormatting sqref="C33">
    <cfRule type="duplicateValues" dxfId="10" priority="6"/>
  </conditionalFormatting>
  <conditionalFormatting sqref="C34">
    <cfRule type="duplicateValues" dxfId="9" priority="5"/>
  </conditionalFormatting>
  <conditionalFormatting sqref="C35">
    <cfRule type="duplicateValues" dxfId="8" priority="4"/>
  </conditionalFormatting>
  <conditionalFormatting sqref="C36">
    <cfRule type="duplicateValues" dxfId="7" priority="3"/>
  </conditionalFormatting>
  <conditionalFormatting sqref="C37">
    <cfRule type="duplicateValues" dxfId="6" priority="2"/>
  </conditionalFormatting>
  <conditionalFormatting sqref="C38">
    <cfRule type="duplicateValues" dxfId="5" priority="1"/>
  </conditionalFormatting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4FF9F-E919-4A39-B902-86B9B82F097B}">
  <dimension ref="A1:XFC378"/>
  <sheetViews>
    <sheetView topLeftCell="A4" zoomScale="80" zoomScaleNormal="80" workbookViewId="0">
      <selection activeCell="O18" sqref="O18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316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9" t="s">
        <v>49</v>
      </c>
      <c r="C3" s="15" t="s">
        <v>321</v>
      </c>
      <c r="D3" s="16">
        <v>70555.67</v>
      </c>
      <c r="E3" s="16" t="s">
        <v>13</v>
      </c>
      <c r="F3" s="16" t="s">
        <v>13</v>
      </c>
      <c r="G3" s="18">
        <v>7870</v>
      </c>
      <c r="H3" s="18">
        <v>117</v>
      </c>
      <c r="I3" s="19">
        <f t="shared" ref="I3:I12" si="0">G3/H3</f>
        <v>67.26495726495726</v>
      </c>
      <c r="J3" s="18">
        <v>16</v>
      </c>
      <c r="K3" s="19">
        <v>1</v>
      </c>
      <c r="L3" s="9">
        <v>94770</v>
      </c>
      <c r="M3" s="11">
        <v>11097</v>
      </c>
      <c r="N3" s="20">
        <v>46185</v>
      </c>
      <c r="O3" s="39" t="s">
        <v>94</v>
      </c>
    </row>
    <row r="4" spans="1:15" s="2" customFormat="1" ht="24.9" customHeight="1">
      <c r="A4" s="14">
        <v>2</v>
      </c>
      <c r="B4" s="14">
        <v>1</v>
      </c>
      <c r="C4" s="15" t="s">
        <v>309</v>
      </c>
      <c r="D4" s="16">
        <v>46372.47</v>
      </c>
      <c r="E4" s="16">
        <v>92823.49</v>
      </c>
      <c r="F4" s="10">
        <f>(D4-E4)/E4</f>
        <v>-0.50042311488180413</v>
      </c>
      <c r="G4" s="18">
        <v>5433</v>
      </c>
      <c r="H4" s="18">
        <v>114</v>
      </c>
      <c r="I4" s="19">
        <f t="shared" si="0"/>
        <v>47.657894736842103</v>
      </c>
      <c r="J4" s="18">
        <v>15</v>
      </c>
      <c r="K4" s="19">
        <v>2</v>
      </c>
      <c r="L4" s="16">
        <v>200466</v>
      </c>
      <c r="M4" s="18">
        <v>22882</v>
      </c>
      <c r="N4" s="20">
        <v>46178</v>
      </c>
      <c r="O4" s="40" t="s">
        <v>310</v>
      </c>
    </row>
    <row r="5" spans="1:15" s="2" customFormat="1" ht="24.9" customHeight="1">
      <c r="A5" s="14">
        <v>3</v>
      </c>
      <c r="B5" s="19" t="s">
        <v>49</v>
      </c>
      <c r="C5" s="15" t="s">
        <v>322</v>
      </c>
      <c r="D5" s="16">
        <v>44402.59</v>
      </c>
      <c r="E5" s="16" t="s">
        <v>13</v>
      </c>
      <c r="F5" s="16" t="s">
        <v>13</v>
      </c>
      <c r="G5" s="18">
        <v>5168</v>
      </c>
      <c r="H5" s="18">
        <v>135</v>
      </c>
      <c r="I5" s="19">
        <f t="shared" si="0"/>
        <v>38.281481481481478</v>
      </c>
      <c r="J5" s="18">
        <v>20</v>
      </c>
      <c r="K5" s="19">
        <v>1</v>
      </c>
      <c r="L5" s="9">
        <v>55990</v>
      </c>
      <c r="M5" s="11">
        <v>6559</v>
      </c>
      <c r="N5" s="20">
        <v>46183</v>
      </c>
      <c r="O5" s="39" t="s">
        <v>207</v>
      </c>
    </row>
    <row r="6" spans="1:15" s="2" customFormat="1" ht="24.9" customHeight="1">
      <c r="A6" s="14">
        <v>4</v>
      </c>
      <c r="B6" s="7">
        <v>3</v>
      </c>
      <c r="C6" s="8" t="s">
        <v>251</v>
      </c>
      <c r="D6" s="9">
        <v>23740</v>
      </c>
      <c r="E6" s="9">
        <v>19084.47</v>
      </c>
      <c r="F6" s="10">
        <f t="shared" ref="F6:F12" si="1">(D6-E6)/E6</f>
        <v>0.24394337385319051</v>
      </c>
      <c r="G6" s="11">
        <v>3095</v>
      </c>
      <c r="H6" s="11">
        <v>55</v>
      </c>
      <c r="I6" s="19">
        <f t="shared" si="0"/>
        <v>56.272727272727273</v>
      </c>
      <c r="J6" s="11">
        <v>11</v>
      </c>
      <c r="K6" s="12">
        <v>8</v>
      </c>
      <c r="L6" s="9">
        <v>591124</v>
      </c>
      <c r="M6" s="11">
        <v>76524</v>
      </c>
      <c r="N6" s="13">
        <v>46136</v>
      </c>
      <c r="O6" s="39" t="s">
        <v>207</v>
      </c>
    </row>
    <row r="7" spans="1:15" s="2" customFormat="1" ht="24.9" customHeight="1">
      <c r="A7" s="14">
        <v>5</v>
      </c>
      <c r="B7" s="14">
        <v>2</v>
      </c>
      <c r="C7" s="15" t="s">
        <v>294</v>
      </c>
      <c r="D7" s="16">
        <v>22565.35</v>
      </c>
      <c r="E7" s="16">
        <v>39053.67</v>
      </c>
      <c r="F7" s="10">
        <f t="shared" si="1"/>
        <v>-0.42219642865830537</v>
      </c>
      <c r="G7" s="18">
        <v>2838</v>
      </c>
      <c r="H7" s="18">
        <v>78</v>
      </c>
      <c r="I7" s="19">
        <f t="shared" si="0"/>
        <v>36.384615384615387</v>
      </c>
      <c r="J7" s="18">
        <v>13</v>
      </c>
      <c r="K7" s="19">
        <v>3</v>
      </c>
      <c r="L7" s="16">
        <v>215752.25</v>
      </c>
      <c r="M7" s="18">
        <v>27773</v>
      </c>
      <c r="N7" s="20">
        <v>46171</v>
      </c>
      <c r="O7" s="40" t="s">
        <v>46</v>
      </c>
    </row>
    <row r="8" spans="1:15" s="2" customFormat="1" ht="24.9" customHeight="1">
      <c r="A8" s="14">
        <v>6</v>
      </c>
      <c r="B8" s="14">
        <v>5</v>
      </c>
      <c r="C8" s="15" t="s">
        <v>306</v>
      </c>
      <c r="D8" s="16">
        <v>17933.8</v>
      </c>
      <c r="E8" s="16">
        <v>14605.58</v>
      </c>
      <c r="F8" s="10">
        <f t="shared" si="1"/>
        <v>0.22787318271509927</v>
      </c>
      <c r="G8" s="18">
        <v>2987</v>
      </c>
      <c r="H8" s="18">
        <v>81</v>
      </c>
      <c r="I8" s="19">
        <f t="shared" si="0"/>
        <v>36.876543209876544</v>
      </c>
      <c r="J8" s="18">
        <v>15</v>
      </c>
      <c r="K8" s="19">
        <v>2</v>
      </c>
      <c r="L8" s="16">
        <v>48864.84</v>
      </c>
      <c r="M8" s="18">
        <v>8973</v>
      </c>
      <c r="N8" s="20">
        <v>46178</v>
      </c>
      <c r="O8" s="40" t="s">
        <v>42</v>
      </c>
    </row>
    <row r="9" spans="1:15" s="2" customFormat="1" ht="24.9" customHeight="1">
      <c r="A9" s="14">
        <v>7</v>
      </c>
      <c r="B9" s="7">
        <v>6</v>
      </c>
      <c r="C9" s="8" t="s">
        <v>290</v>
      </c>
      <c r="D9" s="9">
        <v>17036.39</v>
      </c>
      <c r="E9" s="9">
        <v>13059.93</v>
      </c>
      <c r="F9" s="10">
        <f t="shared" si="1"/>
        <v>0.30447789536391073</v>
      </c>
      <c r="G9" s="11">
        <v>2931</v>
      </c>
      <c r="H9" s="11">
        <v>80</v>
      </c>
      <c r="I9" s="19">
        <f t="shared" si="0"/>
        <v>36.637500000000003</v>
      </c>
      <c r="J9" s="11">
        <v>17</v>
      </c>
      <c r="K9" s="12">
        <v>3</v>
      </c>
      <c r="L9" s="9">
        <v>71023.63</v>
      </c>
      <c r="M9" s="11">
        <v>13575</v>
      </c>
      <c r="N9" s="13">
        <v>46171</v>
      </c>
      <c r="O9" s="39" t="s">
        <v>42</v>
      </c>
    </row>
    <row r="10" spans="1:15" s="2" customFormat="1" ht="24.9" customHeight="1">
      <c r="A10" s="14">
        <v>8</v>
      </c>
      <c r="B10" s="7">
        <v>4</v>
      </c>
      <c r="C10" s="8" t="s">
        <v>263</v>
      </c>
      <c r="D10" s="9">
        <v>14715.98</v>
      </c>
      <c r="E10" s="9">
        <v>14744.95</v>
      </c>
      <c r="F10" s="10">
        <f t="shared" si="1"/>
        <v>-1.9647404704662384E-3</v>
      </c>
      <c r="G10" s="11">
        <v>1854</v>
      </c>
      <c r="H10" s="11">
        <v>49</v>
      </c>
      <c r="I10" s="19">
        <f t="shared" si="0"/>
        <v>37.836734693877553</v>
      </c>
      <c r="J10" s="11">
        <v>10</v>
      </c>
      <c r="K10" s="12">
        <v>7</v>
      </c>
      <c r="L10" s="9">
        <v>898112</v>
      </c>
      <c r="M10" s="11">
        <v>106629</v>
      </c>
      <c r="N10" s="13">
        <v>46143</v>
      </c>
      <c r="O10" s="39" t="s">
        <v>37</v>
      </c>
    </row>
    <row r="11" spans="1:15" s="2" customFormat="1" ht="24.9" customHeight="1">
      <c r="A11" s="14">
        <v>9</v>
      </c>
      <c r="B11" s="7">
        <v>10</v>
      </c>
      <c r="C11" s="8" t="s">
        <v>262</v>
      </c>
      <c r="D11" s="9">
        <v>9022.99</v>
      </c>
      <c r="E11" s="9">
        <v>6509.27</v>
      </c>
      <c r="F11" s="10">
        <f t="shared" si="1"/>
        <v>0.38617540830231334</v>
      </c>
      <c r="G11" s="11">
        <v>1410</v>
      </c>
      <c r="H11" s="11">
        <v>38</v>
      </c>
      <c r="I11" s="19">
        <f t="shared" si="0"/>
        <v>37.10526315789474</v>
      </c>
      <c r="J11" s="11">
        <v>10</v>
      </c>
      <c r="K11" s="12">
        <v>6</v>
      </c>
      <c r="L11" s="9">
        <v>117695.27</v>
      </c>
      <c r="M11" s="11">
        <v>20093</v>
      </c>
      <c r="N11" s="13">
        <v>46150</v>
      </c>
      <c r="O11" s="39" t="s">
        <v>39</v>
      </c>
    </row>
    <row r="12" spans="1:15" s="2" customFormat="1" ht="24.9" customHeight="1">
      <c r="A12" s="14">
        <v>10</v>
      </c>
      <c r="B12" s="7">
        <v>9</v>
      </c>
      <c r="C12" s="8" t="s">
        <v>216</v>
      </c>
      <c r="D12" s="9">
        <v>8111.58</v>
      </c>
      <c r="E12" s="9">
        <v>6643.16</v>
      </c>
      <c r="F12" s="10">
        <f t="shared" si="1"/>
        <v>0.22104239548648535</v>
      </c>
      <c r="G12" s="11">
        <v>1303</v>
      </c>
      <c r="H12" s="11">
        <v>28</v>
      </c>
      <c r="I12" s="19">
        <f t="shared" si="0"/>
        <v>46.535714285714285</v>
      </c>
      <c r="J12" s="11">
        <v>6</v>
      </c>
      <c r="K12" s="12">
        <v>12</v>
      </c>
      <c r="L12" s="9">
        <v>521098</v>
      </c>
      <c r="M12" s="11">
        <v>83751</v>
      </c>
      <c r="N12" s="13">
        <v>46113</v>
      </c>
      <c r="O12" s="39" t="s">
        <v>207</v>
      </c>
    </row>
    <row r="13" spans="1:15" s="2" customFormat="1" ht="24.9" customHeight="1">
      <c r="A13" s="14">
        <v>11</v>
      </c>
      <c r="B13" s="19" t="s">
        <v>49</v>
      </c>
      <c r="C13" s="15" t="s">
        <v>318</v>
      </c>
      <c r="D13" s="16">
        <v>7037</v>
      </c>
      <c r="E13" s="16" t="s">
        <v>13</v>
      </c>
      <c r="F13" s="16" t="s">
        <v>13</v>
      </c>
      <c r="G13" s="18">
        <v>1017</v>
      </c>
      <c r="H13" s="16" t="s">
        <v>13</v>
      </c>
      <c r="I13" s="16" t="s">
        <v>13</v>
      </c>
      <c r="J13" s="18">
        <v>20</v>
      </c>
      <c r="K13" s="19">
        <v>1</v>
      </c>
      <c r="L13" s="9">
        <v>7037</v>
      </c>
      <c r="M13" s="11">
        <v>1017</v>
      </c>
      <c r="N13" s="20">
        <v>46185</v>
      </c>
      <c r="O13" s="39" t="s">
        <v>44</v>
      </c>
    </row>
    <row r="14" spans="1:15" s="2" customFormat="1" ht="24.9" customHeight="1">
      <c r="A14" s="14">
        <v>12</v>
      </c>
      <c r="B14" s="7">
        <v>7</v>
      </c>
      <c r="C14" s="8" t="s">
        <v>292</v>
      </c>
      <c r="D14" s="9">
        <v>5260.98</v>
      </c>
      <c r="E14" s="9">
        <v>10159.459999999999</v>
      </c>
      <c r="F14" s="10">
        <f>(D14-E14)/E14</f>
        <v>-0.48215948485450999</v>
      </c>
      <c r="G14" s="11">
        <v>660</v>
      </c>
      <c r="H14" s="11">
        <v>21</v>
      </c>
      <c r="I14" s="19">
        <f>G14/H14</f>
        <v>31.428571428571427</v>
      </c>
      <c r="J14" s="11">
        <v>5</v>
      </c>
      <c r="K14" s="12">
        <v>4</v>
      </c>
      <c r="L14" s="9">
        <v>101065</v>
      </c>
      <c r="M14" s="11">
        <v>11586</v>
      </c>
      <c r="N14" s="13">
        <v>46164</v>
      </c>
      <c r="O14" s="39" t="s">
        <v>37</v>
      </c>
    </row>
    <row r="15" spans="1:15" s="1" customFormat="1" ht="24.9" customHeight="1">
      <c r="A15" s="14">
        <v>13</v>
      </c>
      <c r="B15" s="14">
        <v>8</v>
      </c>
      <c r="C15" s="15" t="s">
        <v>307</v>
      </c>
      <c r="D15" s="16">
        <v>4007.74</v>
      </c>
      <c r="E15" s="16">
        <v>8087.65</v>
      </c>
      <c r="F15" s="10" t="s">
        <v>13</v>
      </c>
      <c r="G15" s="18">
        <v>542</v>
      </c>
      <c r="H15" s="18">
        <v>27</v>
      </c>
      <c r="I15" s="19">
        <f>G15/H15</f>
        <v>20.074074074074073</v>
      </c>
      <c r="J15" s="18">
        <v>8</v>
      </c>
      <c r="K15" s="19">
        <v>2</v>
      </c>
      <c r="L15" s="16">
        <v>16738.02</v>
      </c>
      <c r="M15" s="18">
        <v>2267</v>
      </c>
      <c r="N15" s="20">
        <v>46178</v>
      </c>
      <c r="O15" s="40" t="s">
        <v>39</v>
      </c>
    </row>
    <row r="16" spans="1:15" s="1" customFormat="1" ht="24.9" customHeight="1">
      <c r="A16" s="14">
        <v>14</v>
      </c>
      <c r="B16" s="19" t="s">
        <v>49</v>
      </c>
      <c r="C16" s="15" t="s">
        <v>320</v>
      </c>
      <c r="D16" s="16">
        <v>1226</v>
      </c>
      <c r="E16" s="16" t="s">
        <v>13</v>
      </c>
      <c r="F16" s="16" t="s">
        <v>13</v>
      </c>
      <c r="G16" s="18">
        <v>454</v>
      </c>
      <c r="H16" s="16" t="s">
        <v>13</v>
      </c>
      <c r="I16" s="16" t="s">
        <v>13</v>
      </c>
      <c r="J16" s="18">
        <v>5</v>
      </c>
      <c r="K16" s="19">
        <v>1</v>
      </c>
      <c r="L16" s="9">
        <v>20601</v>
      </c>
      <c r="M16" s="11">
        <v>4845</v>
      </c>
      <c r="N16" s="20">
        <v>46185</v>
      </c>
      <c r="O16" s="39" t="s">
        <v>44</v>
      </c>
    </row>
    <row r="17" spans="1:15" s="1" customFormat="1" ht="24.9" customHeight="1">
      <c r="A17" s="14">
        <v>15</v>
      </c>
      <c r="B17" s="16" t="s">
        <v>13</v>
      </c>
      <c r="C17" s="15" t="s">
        <v>319</v>
      </c>
      <c r="D17" s="16">
        <v>1056</v>
      </c>
      <c r="E17" s="16" t="s">
        <v>13</v>
      </c>
      <c r="F17" s="16" t="s">
        <v>13</v>
      </c>
      <c r="G17" s="18">
        <v>395</v>
      </c>
      <c r="H17" s="16" t="s">
        <v>13</v>
      </c>
      <c r="I17" s="16" t="s">
        <v>13</v>
      </c>
      <c r="J17" s="18">
        <v>5</v>
      </c>
      <c r="K17" s="16" t="s">
        <v>13</v>
      </c>
      <c r="L17" s="9">
        <v>12124</v>
      </c>
      <c r="M17" s="11">
        <v>2583</v>
      </c>
      <c r="N17" s="16" t="s">
        <v>13</v>
      </c>
      <c r="O17" s="39" t="s">
        <v>44</v>
      </c>
    </row>
    <row r="18" spans="1:15" s="1" customFormat="1" ht="24.9" customHeight="1">
      <c r="A18" s="14">
        <v>16</v>
      </c>
      <c r="B18" s="7">
        <v>25</v>
      </c>
      <c r="C18" s="8" t="s">
        <v>235</v>
      </c>
      <c r="D18" s="9">
        <v>799.3</v>
      </c>
      <c r="E18" s="9">
        <v>228.26</v>
      </c>
      <c r="F18" s="10">
        <f>(D18-E18)/E18</f>
        <v>2.5017085779374395</v>
      </c>
      <c r="G18" s="11">
        <v>103</v>
      </c>
      <c r="H18" s="11">
        <v>8</v>
      </c>
      <c r="I18" s="19">
        <f>G18/H18</f>
        <v>12.875</v>
      </c>
      <c r="J18" s="11">
        <v>3</v>
      </c>
      <c r="K18" s="12">
        <v>9</v>
      </c>
      <c r="L18" s="9">
        <v>198352.18</v>
      </c>
      <c r="M18" s="11">
        <v>27427</v>
      </c>
      <c r="N18" s="13">
        <v>46122</v>
      </c>
      <c r="O18" s="39" t="s">
        <v>47</v>
      </c>
    </row>
    <row r="19" spans="1:15" s="1" customFormat="1" ht="24.9" customHeight="1">
      <c r="A19" s="14">
        <v>17</v>
      </c>
      <c r="B19" s="14">
        <v>11</v>
      </c>
      <c r="C19" s="15" t="s">
        <v>296</v>
      </c>
      <c r="D19" s="16">
        <v>770.22</v>
      </c>
      <c r="E19" s="16">
        <v>4545.42</v>
      </c>
      <c r="F19" s="10">
        <f>(D19-E19)/E19</f>
        <v>-0.83055031218237252</v>
      </c>
      <c r="G19" s="18">
        <v>104</v>
      </c>
      <c r="H19" s="18">
        <v>3</v>
      </c>
      <c r="I19" s="19">
        <f>G19/H19</f>
        <v>34.666666666666664</v>
      </c>
      <c r="J19" s="18">
        <v>1</v>
      </c>
      <c r="K19" s="19">
        <v>3</v>
      </c>
      <c r="L19" s="16">
        <v>21596.62</v>
      </c>
      <c r="M19" s="18">
        <v>3027</v>
      </c>
      <c r="N19" s="20">
        <v>46171</v>
      </c>
      <c r="O19" s="40" t="s">
        <v>42</v>
      </c>
    </row>
    <row r="20" spans="1:15" ht="24.9" customHeight="1">
      <c r="A20" s="14">
        <v>18</v>
      </c>
      <c r="B20" s="7">
        <v>40</v>
      </c>
      <c r="C20" s="8" t="s">
        <v>248</v>
      </c>
      <c r="D20" s="9">
        <v>475</v>
      </c>
      <c r="E20" s="9">
        <v>94</v>
      </c>
      <c r="F20" s="10">
        <f>(D20-E20)/E20</f>
        <v>4.0531914893617023</v>
      </c>
      <c r="G20" s="11">
        <v>100</v>
      </c>
      <c r="H20" s="16" t="s">
        <v>13</v>
      </c>
      <c r="I20" s="16" t="s">
        <v>13</v>
      </c>
      <c r="J20" s="11">
        <v>3</v>
      </c>
      <c r="K20" s="12">
        <v>8</v>
      </c>
      <c r="L20" s="9">
        <v>74344</v>
      </c>
      <c r="M20" s="11">
        <v>13434</v>
      </c>
      <c r="N20" s="13">
        <v>46136</v>
      </c>
      <c r="O20" s="39" t="s">
        <v>44</v>
      </c>
    </row>
    <row r="21" spans="1:15" ht="24.9" customHeight="1">
      <c r="A21" s="14">
        <v>19</v>
      </c>
      <c r="B21" s="7">
        <v>21</v>
      </c>
      <c r="C21" s="8" t="s">
        <v>273</v>
      </c>
      <c r="D21" s="9">
        <v>452</v>
      </c>
      <c r="E21" s="9">
        <v>399.55</v>
      </c>
      <c r="F21" s="10">
        <f>(D21-E21)/E21</f>
        <v>0.13127268176698784</v>
      </c>
      <c r="G21" s="11">
        <v>56</v>
      </c>
      <c r="H21" s="11">
        <v>2</v>
      </c>
      <c r="I21" s="19">
        <f t="shared" ref="I21:I38" si="2">G21/H21</f>
        <v>28</v>
      </c>
      <c r="J21" s="11">
        <v>2</v>
      </c>
      <c r="K21" s="12" t="s">
        <v>13</v>
      </c>
      <c r="L21" s="16">
        <v>5020</v>
      </c>
      <c r="M21" s="18">
        <v>854</v>
      </c>
      <c r="N21" s="13">
        <v>46143</v>
      </c>
      <c r="O21" s="39" t="s">
        <v>51</v>
      </c>
    </row>
    <row r="22" spans="1:15" s="1" customFormat="1" ht="24.9" customHeight="1">
      <c r="A22" s="14">
        <v>20</v>
      </c>
      <c r="B22" s="16" t="s">
        <v>13</v>
      </c>
      <c r="C22" s="15" t="s">
        <v>323</v>
      </c>
      <c r="D22" s="16">
        <v>396</v>
      </c>
      <c r="E22" s="16" t="s">
        <v>13</v>
      </c>
      <c r="F22" s="16" t="s">
        <v>13</v>
      </c>
      <c r="G22" s="18">
        <v>108</v>
      </c>
      <c r="H22" s="18">
        <v>1</v>
      </c>
      <c r="I22" s="19">
        <f t="shared" si="2"/>
        <v>108</v>
      </c>
      <c r="J22" s="18">
        <v>1</v>
      </c>
      <c r="K22" s="16" t="s">
        <v>13</v>
      </c>
      <c r="L22" s="9">
        <v>31796.83</v>
      </c>
      <c r="M22" s="11">
        <v>5846</v>
      </c>
      <c r="N22" s="20">
        <v>45359</v>
      </c>
      <c r="O22" s="40" t="s">
        <v>42</v>
      </c>
    </row>
    <row r="23" spans="1:15" ht="25.2" customHeight="1" thickBot="1">
      <c r="A23" s="14">
        <v>21</v>
      </c>
      <c r="B23" s="16" t="s">
        <v>13</v>
      </c>
      <c r="C23" s="15" t="s">
        <v>242</v>
      </c>
      <c r="D23" s="80">
        <v>380</v>
      </c>
      <c r="E23" s="16" t="s">
        <v>13</v>
      </c>
      <c r="F23" s="16" t="s">
        <v>13</v>
      </c>
      <c r="G23" s="18">
        <v>76</v>
      </c>
      <c r="H23" s="18">
        <v>1</v>
      </c>
      <c r="I23" s="19">
        <f t="shared" si="2"/>
        <v>76</v>
      </c>
      <c r="J23" s="18">
        <v>1</v>
      </c>
      <c r="K23" s="16" t="s">
        <v>13</v>
      </c>
      <c r="L23" s="9">
        <v>71089.649999999994</v>
      </c>
      <c r="M23" s="11">
        <v>13996</v>
      </c>
      <c r="N23" s="20">
        <v>45947</v>
      </c>
      <c r="O23" s="40" t="s">
        <v>42</v>
      </c>
    </row>
    <row r="24" spans="1:15" s="1" customFormat="1" ht="24.9" customHeight="1">
      <c r="A24" s="14">
        <v>22</v>
      </c>
      <c r="B24" s="7">
        <v>27</v>
      </c>
      <c r="C24" s="8" t="s">
        <v>243</v>
      </c>
      <c r="D24" s="9">
        <v>363.28</v>
      </c>
      <c r="E24" s="9">
        <v>196</v>
      </c>
      <c r="F24" s="10">
        <v>0.73100381194409125</v>
      </c>
      <c r="G24" s="11">
        <v>83</v>
      </c>
      <c r="H24" s="11">
        <v>1</v>
      </c>
      <c r="I24" s="19">
        <f t="shared" si="2"/>
        <v>83</v>
      </c>
      <c r="J24" s="11">
        <v>1</v>
      </c>
      <c r="K24" s="12">
        <v>9</v>
      </c>
      <c r="L24" s="9">
        <v>5665.87</v>
      </c>
      <c r="M24" s="11">
        <v>1051</v>
      </c>
      <c r="N24" s="13">
        <v>46129</v>
      </c>
      <c r="O24" s="39" t="s">
        <v>43</v>
      </c>
    </row>
    <row r="25" spans="1:15" ht="24.9" customHeight="1">
      <c r="A25" s="14">
        <v>23</v>
      </c>
      <c r="B25" s="7">
        <v>28</v>
      </c>
      <c r="C25" s="8" t="s">
        <v>230</v>
      </c>
      <c r="D25" s="9">
        <v>316.75</v>
      </c>
      <c r="E25" s="9">
        <v>195.85</v>
      </c>
      <c r="F25" s="10">
        <f>(D25-E25)/E25</f>
        <v>0.61730916517743173</v>
      </c>
      <c r="G25" s="11">
        <v>52</v>
      </c>
      <c r="H25" s="11">
        <v>3</v>
      </c>
      <c r="I25" s="19">
        <f t="shared" si="2"/>
        <v>17.333333333333332</v>
      </c>
      <c r="J25" s="11">
        <v>3</v>
      </c>
      <c r="K25" s="12" t="s">
        <v>13</v>
      </c>
      <c r="L25" s="16">
        <v>16217.75</v>
      </c>
      <c r="M25" s="18">
        <v>2716</v>
      </c>
      <c r="N25" s="13">
        <v>46122</v>
      </c>
      <c r="O25" s="39" t="s">
        <v>51</v>
      </c>
    </row>
    <row r="26" spans="1:15" ht="24.9" customHeight="1">
      <c r="A26" s="14">
        <v>24</v>
      </c>
      <c r="B26" s="16" t="s">
        <v>13</v>
      </c>
      <c r="C26" s="15" t="s">
        <v>35</v>
      </c>
      <c r="D26" s="16">
        <v>286.52999999999997</v>
      </c>
      <c r="E26" s="16" t="s">
        <v>13</v>
      </c>
      <c r="F26" s="17" t="s">
        <v>13</v>
      </c>
      <c r="G26" s="18">
        <v>43</v>
      </c>
      <c r="H26" s="18">
        <v>1</v>
      </c>
      <c r="I26" s="19">
        <f t="shared" si="2"/>
        <v>43</v>
      </c>
      <c r="J26" s="18">
        <v>1</v>
      </c>
      <c r="K26" s="19" t="s">
        <v>13</v>
      </c>
      <c r="L26" s="16">
        <v>378464.42</v>
      </c>
      <c r="M26" s="18">
        <v>63872</v>
      </c>
      <c r="N26" s="20">
        <v>45744</v>
      </c>
      <c r="O26" s="40" t="s">
        <v>47</v>
      </c>
    </row>
    <row r="27" spans="1:15" ht="24.9" customHeight="1">
      <c r="A27" s="14">
        <v>25</v>
      </c>
      <c r="B27" s="16" t="s">
        <v>13</v>
      </c>
      <c r="C27" s="15" t="s">
        <v>213</v>
      </c>
      <c r="D27" s="16">
        <v>255</v>
      </c>
      <c r="E27" s="16" t="s">
        <v>13</v>
      </c>
      <c r="F27" s="16" t="s">
        <v>13</v>
      </c>
      <c r="G27" s="18">
        <v>43</v>
      </c>
      <c r="H27" s="18">
        <v>1</v>
      </c>
      <c r="I27" s="19">
        <f t="shared" si="2"/>
        <v>43</v>
      </c>
      <c r="J27" s="18">
        <v>1</v>
      </c>
      <c r="K27" s="16" t="s">
        <v>13</v>
      </c>
      <c r="L27" s="9">
        <v>11332.33</v>
      </c>
      <c r="M27" s="11">
        <v>1864</v>
      </c>
      <c r="N27" s="13">
        <v>46115</v>
      </c>
      <c r="O27" s="39" t="s">
        <v>46</v>
      </c>
    </row>
    <row r="28" spans="1:15" ht="24.9" customHeight="1">
      <c r="A28" s="14">
        <v>26</v>
      </c>
      <c r="B28" s="16" t="s">
        <v>13</v>
      </c>
      <c r="C28" s="15" t="s">
        <v>84</v>
      </c>
      <c r="D28" s="16">
        <v>213.75</v>
      </c>
      <c r="E28" s="16" t="s">
        <v>13</v>
      </c>
      <c r="F28" s="16" t="s">
        <v>13</v>
      </c>
      <c r="G28" s="18">
        <v>25</v>
      </c>
      <c r="H28" s="18">
        <v>1</v>
      </c>
      <c r="I28" s="19">
        <f t="shared" si="2"/>
        <v>25</v>
      </c>
      <c r="J28" s="18">
        <v>1</v>
      </c>
      <c r="K28" s="16" t="s">
        <v>13</v>
      </c>
      <c r="L28" s="9">
        <v>41148</v>
      </c>
      <c r="M28" s="11">
        <v>6525</v>
      </c>
      <c r="N28" s="20">
        <v>46038</v>
      </c>
      <c r="O28" s="40" t="s">
        <v>207</v>
      </c>
    </row>
    <row r="29" spans="1:15" ht="24.9" customHeight="1">
      <c r="A29" s="14">
        <v>27</v>
      </c>
      <c r="B29" s="19">
        <v>31</v>
      </c>
      <c r="C29" s="77" t="s">
        <v>270</v>
      </c>
      <c r="D29" s="16">
        <v>196.4</v>
      </c>
      <c r="E29" s="16">
        <v>158.15</v>
      </c>
      <c r="F29" s="17" t="s">
        <v>13</v>
      </c>
      <c r="G29" s="18">
        <v>22</v>
      </c>
      <c r="H29" s="19">
        <v>2</v>
      </c>
      <c r="I29" s="19">
        <f t="shared" si="2"/>
        <v>11</v>
      </c>
      <c r="J29" s="18">
        <v>2</v>
      </c>
      <c r="K29" s="18" t="s">
        <v>13</v>
      </c>
      <c r="L29" s="16">
        <v>35545.56</v>
      </c>
      <c r="M29" s="18">
        <v>5521</v>
      </c>
      <c r="N29" s="20">
        <v>45926</v>
      </c>
      <c r="O29" s="40" t="s">
        <v>47</v>
      </c>
    </row>
    <row r="30" spans="1:15" ht="37.200000000000003" customHeight="1">
      <c r="A30" s="14">
        <v>28</v>
      </c>
      <c r="B30" s="7">
        <v>12</v>
      </c>
      <c r="C30" s="8" t="s">
        <v>184</v>
      </c>
      <c r="D30" s="9">
        <v>178</v>
      </c>
      <c r="E30" s="9">
        <v>3245.39</v>
      </c>
      <c r="F30" s="10">
        <f>(D30-E30)/E30</f>
        <v>-0.94515297082939187</v>
      </c>
      <c r="G30" s="11">
        <v>33</v>
      </c>
      <c r="H30" s="11">
        <v>1</v>
      </c>
      <c r="I30" s="19">
        <f t="shared" si="2"/>
        <v>33</v>
      </c>
      <c r="J30" s="11">
        <v>1</v>
      </c>
      <c r="K30" s="12">
        <v>13</v>
      </c>
      <c r="L30" s="9">
        <v>699116.1</v>
      </c>
      <c r="M30" s="11">
        <v>79323</v>
      </c>
      <c r="N30" s="13">
        <v>46101</v>
      </c>
      <c r="O30" s="39" t="s">
        <v>39</v>
      </c>
    </row>
    <row r="31" spans="1:15" ht="51.6" customHeight="1">
      <c r="A31" s="14">
        <v>29</v>
      </c>
      <c r="B31" s="14">
        <v>29</v>
      </c>
      <c r="C31" s="15" t="s">
        <v>303</v>
      </c>
      <c r="D31" s="16">
        <v>150</v>
      </c>
      <c r="E31" s="16">
        <v>175</v>
      </c>
      <c r="F31" s="19" t="s">
        <v>13</v>
      </c>
      <c r="G31" s="18">
        <v>21</v>
      </c>
      <c r="H31" s="18">
        <v>1</v>
      </c>
      <c r="I31" s="19">
        <f t="shared" si="2"/>
        <v>21</v>
      </c>
      <c r="J31" s="18">
        <v>1</v>
      </c>
      <c r="K31" s="19" t="s">
        <v>13</v>
      </c>
      <c r="L31" s="16">
        <v>16581</v>
      </c>
      <c r="M31" s="18">
        <v>2399</v>
      </c>
      <c r="N31" s="20">
        <v>46059</v>
      </c>
      <c r="O31" s="40" t="s">
        <v>51</v>
      </c>
    </row>
    <row r="32" spans="1:15" ht="24.9" customHeight="1">
      <c r="A32" s="14">
        <v>30</v>
      </c>
      <c r="B32" s="14">
        <v>53</v>
      </c>
      <c r="C32" s="15" t="s">
        <v>312</v>
      </c>
      <c r="D32" s="16">
        <v>89.5</v>
      </c>
      <c r="E32" s="16">
        <v>31.8</v>
      </c>
      <c r="F32" s="19" t="s">
        <v>13</v>
      </c>
      <c r="G32" s="18">
        <v>12</v>
      </c>
      <c r="H32" s="18">
        <v>1</v>
      </c>
      <c r="I32" s="19">
        <f t="shared" si="2"/>
        <v>12</v>
      </c>
      <c r="J32" s="18">
        <v>1</v>
      </c>
      <c r="K32" s="16" t="s">
        <v>13</v>
      </c>
      <c r="L32" s="16">
        <v>160089</v>
      </c>
      <c r="M32" s="18">
        <v>22215</v>
      </c>
      <c r="N32" s="20">
        <v>46045</v>
      </c>
      <c r="O32" s="39" t="s">
        <v>94</v>
      </c>
    </row>
    <row r="33" spans="1:15" ht="24.9" customHeight="1">
      <c r="A33" s="14">
        <v>31</v>
      </c>
      <c r="B33" s="14">
        <v>50</v>
      </c>
      <c r="C33" s="77" t="s">
        <v>192</v>
      </c>
      <c r="D33" s="16">
        <v>74.55</v>
      </c>
      <c r="E33" s="16">
        <v>45.45</v>
      </c>
      <c r="F33" s="19" t="s">
        <v>13</v>
      </c>
      <c r="G33" s="18">
        <v>7</v>
      </c>
      <c r="H33" s="18">
        <v>1</v>
      </c>
      <c r="I33" s="19">
        <f t="shared" si="2"/>
        <v>7</v>
      </c>
      <c r="J33" s="18">
        <v>1</v>
      </c>
      <c r="K33" s="19" t="s">
        <v>13</v>
      </c>
      <c r="L33" s="16">
        <v>32128.89</v>
      </c>
      <c r="M33" s="18">
        <v>4379</v>
      </c>
      <c r="N33" s="20">
        <v>46104</v>
      </c>
      <c r="O33" s="40" t="s">
        <v>47</v>
      </c>
    </row>
    <row r="34" spans="1:15" ht="24.9" customHeight="1">
      <c r="A34" s="14">
        <v>32</v>
      </c>
      <c r="B34" s="14">
        <v>34</v>
      </c>
      <c r="C34" s="15" t="s">
        <v>313</v>
      </c>
      <c r="D34" s="79">
        <v>67</v>
      </c>
      <c r="E34" s="16">
        <v>145.52000000000001</v>
      </c>
      <c r="F34" s="19" t="s">
        <v>13</v>
      </c>
      <c r="G34" s="18">
        <v>8</v>
      </c>
      <c r="H34" s="18">
        <v>2</v>
      </c>
      <c r="I34" s="19">
        <f t="shared" si="2"/>
        <v>4</v>
      </c>
      <c r="J34" s="18">
        <v>2</v>
      </c>
      <c r="K34" s="19">
        <v>3</v>
      </c>
      <c r="L34" s="16">
        <v>1360</v>
      </c>
      <c r="M34" s="18">
        <v>227</v>
      </c>
      <c r="N34" s="20">
        <v>46171</v>
      </c>
      <c r="O34" s="40" t="s">
        <v>183</v>
      </c>
    </row>
    <row r="35" spans="1:15" ht="24.9" customHeight="1">
      <c r="A35" s="14">
        <v>33</v>
      </c>
      <c r="B35" s="16" t="s">
        <v>13</v>
      </c>
      <c r="C35" s="78" t="s">
        <v>198</v>
      </c>
      <c r="D35" s="16">
        <v>62.5</v>
      </c>
      <c r="E35" s="16" t="s">
        <v>13</v>
      </c>
      <c r="F35" s="16" t="s">
        <v>13</v>
      </c>
      <c r="G35" s="18">
        <v>11</v>
      </c>
      <c r="H35" s="18">
        <v>1</v>
      </c>
      <c r="I35" s="19">
        <f t="shared" si="2"/>
        <v>11</v>
      </c>
      <c r="J35" s="18">
        <v>1</v>
      </c>
      <c r="K35" s="16" t="s">
        <v>13</v>
      </c>
      <c r="L35" s="9">
        <v>2689.75</v>
      </c>
      <c r="M35" s="11">
        <v>435</v>
      </c>
      <c r="N35" s="20">
        <v>46104</v>
      </c>
      <c r="O35" s="40" t="s">
        <v>47</v>
      </c>
    </row>
    <row r="36" spans="1:15" ht="24.9" customHeight="1">
      <c r="A36" s="14">
        <v>34</v>
      </c>
      <c r="B36" s="7">
        <v>23</v>
      </c>
      <c r="C36" s="8" t="s">
        <v>257</v>
      </c>
      <c r="D36" s="9">
        <v>42</v>
      </c>
      <c r="E36" s="9">
        <v>293</v>
      </c>
      <c r="F36" s="10">
        <f>(D36-E36)/E36</f>
        <v>-0.85665529010238906</v>
      </c>
      <c r="G36" s="11">
        <v>9</v>
      </c>
      <c r="H36" s="11">
        <v>3</v>
      </c>
      <c r="I36" s="19">
        <f t="shared" si="2"/>
        <v>3</v>
      </c>
      <c r="J36" s="11">
        <v>2</v>
      </c>
      <c r="K36" s="12">
        <v>7</v>
      </c>
      <c r="L36" s="9">
        <v>18618.560000000001</v>
      </c>
      <c r="M36" s="11">
        <v>3639</v>
      </c>
      <c r="N36" s="13">
        <v>46143</v>
      </c>
      <c r="O36" s="39" t="s">
        <v>46</v>
      </c>
    </row>
    <row r="37" spans="1:15" ht="24.9" customHeight="1">
      <c r="A37" s="14">
        <v>35</v>
      </c>
      <c r="B37" s="7">
        <v>19</v>
      </c>
      <c r="C37" s="8" t="s">
        <v>191</v>
      </c>
      <c r="D37" s="9">
        <v>35.799999999999997</v>
      </c>
      <c r="E37" s="9">
        <v>591.70000000000005</v>
      </c>
      <c r="F37" s="10">
        <f>(D37-E37)/E37</f>
        <v>-0.93949636640189294</v>
      </c>
      <c r="G37" s="11">
        <v>4</v>
      </c>
      <c r="H37" s="11">
        <v>1</v>
      </c>
      <c r="I37" s="19">
        <f t="shared" si="2"/>
        <v>4</v>
      </c>
      <c r="J37" s="11">
        <v>1</v>
      </c>
      <c r="K37" s="12" t="s">
        <v>13</v>
      </c>
      <c r="L37" s="9">
        <v>49598.28</v>
      </c>
      <c r="M37" s="11">
        <v>7003</v>
      </c>
      <c r="N37" s="13">
        <v>46104</v>
      </c>
      <c r="O37" s="39" t="s">
        <v>47</v>
      </c>
    </row>
    <row r="38" spans="1:15" ht="24.9" customHeight="1">
      <c r="A38" s="14">
        <v>36</v>
      </c>
      <c r="B38" s="16" t="s">
        <v>13</v>
      </c>
      <c r="C38" s="15" t="s">
        <v>317</v>
      </c>
      <c r="D38" s="16">
        <v>14.4</v>
      </c>
      <c r="E38" s="16" t="s">
        <v>13</v>
      </c>
      <c r="F38" s="16" t="s">
        <v>13</v>
      </c>
      <c r="G38" s="18">
        <v>3</v>
      </c>
      <c r="H38" s="18">
        <v>1</v>
      </c>
      <c r="I38" s="19">
        <f t="shared" si="2"/>
        <v>3</v>
      </c>
      <c r="J38" s="18">
        <v>1</v>
      </c>
      <c r="K38" s="16" t="s">
        <v>13</v>
      </c>
      <c r="L38" s="9">
        <v>177</v>
      </c>
      <c r="M38" s="11">
        <v>30</v>
      </c>
      <c r="N38" s="13">
        <v>46106</v>
      </c>
      <c r="O38" s="40" t="s">
        <v>47</v>
      </c>
    </row>
    <row r="39" spans="1:15" ht="24.75" customHeight="1">
      <c r="A39" s="59"/>
      <c r="B39" s="60" t="s">
        <v>14</v>
      </c>
      <c r="C39" s="61" t="s">
        <v>324</v>
      </c>
      <c r="D39" s="27">
        <f>SUBTOTAL(109,Table13245678910111213141516171819202122232425[Pajamos 
(GBO)])</f>
        <v>298662.52</v>
      </c>
      <c r="E39" s="27">
        <f>SUBTOTAL(109,Table13245678910111213141516171819202122232425[Pajamos 
praeita sav.
(GBO LW)])</f>
        <v>235116.72</v>
      </c>
      <c r="F39" s="62">
        <f>(D39-E39)/E39</f>
        <v>0.27027341994223131</v>
      </c>
      <c r="G39" s="34">
        <f>SUBTOTAL(109,Table13245678910111213141516171819202122232425[Žiūrovų sk. 
(ADM)])</f>
        <v>38880</v>
      </c>
      <c r="H39" s="63"/>
      <c r="I39" s="59"/>
      <c r="J39" s="63"/>
      <c r="K39" s="64"/>
      <c r="L39" s="65"/>
      <c r="M39" s="63"/>
      <c r="N39" s="66"/>
      <c r="O39" s="67"/>
    </row>
    <row r="40" spans="1:15"/>
    <row r="41" spans="1:15"/>
    <row r="42" spans="1:15" ht="9" customHeight="1"/>
    <row r="43" spans="1:15"/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</sheetData>
  <mergeCells count="1">
    <mergeCell ref="A1:O1"/>
  </mergeCells>
  <conditionalFormatting sqref="C25:C38">
    <cfRule type="duplicateValues" dxfId="4" priority="12"/>
  </conditionalFormatting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0C07D-63DE-4E46-A9DD-6A6841BD6614}">
  <dimension ref="A1:XFC354"/>
  <sheetViews>
    <sheetView topLeftCell="A30" zoomScale="80" zoomScaleNormal="80" workbookViewId="0">
      <selection activeCell="O44" sqref="O44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298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6" t="s">
        <v>49</v>
      </c>
      <c r="C3" s="15" t="s">
        <v>309</v>
      </c>
      <c r="D3" s="16">
        <v>92823.49</v>
      </c>
      <c r="E3" s="19" t="s">
        <v>13</v>
      </c>
      <c r="F3" s="19" t="s">
        <v>13</v>
      </c>
      <c r="G3" s="18">
        <v>10089</v>
      </c>
      <c r="H3" s="18">
        <v>136</v>
      </c>
      <c r="I3" s="19">
        <f t="shared" ref="I3:I8" si="0">G3/H3</f>
        <v>74.183823529411768</v>
      </c>
      <c r="J3" s="18">
        <v>15</v>
      </c>
      <c r="K3" s="19">
        <v>1</v>
      </c>
      <c r="L3" s="16">
        <v>104751.88</v>
      </c>
      <c r="M3" s="18">
        <v>11567</v>
      </c>
      <c r="N3" s="20">
        <v>46178</v>
      </c>
      <c r="O3" s="40" t="s">
        <v>310</v>
      </c>
    </row>
    <row r="4" spans="1:15" s="2" customFormat="1" ht="24.9" customHeight="1">
      <c r="A4" s="14">
        <v>2</v>
      </c>
      <c r="B4" s="19">
        <v>1</v>
      </c>
      <c r="C4" s="15" t="s">
        <v>294</v>
      </c>
      <c r="D4" s="16">
        <v>39053.67</v>
      </c>
      <c r="E4" s="16">
        <v>83547.929999999993</v>
      </c>
      <c r="F4" s="10">
        <f>(D4-E4)/E4</f>
        <v>-0.53255969357948185</v>
      </c>
      <c r="G4" s="18">
        <v>4964</v>
      </c>
      <c r="H4" s="18">
        <v>123</v>
      </c>
      <c r="I4" s="19">
        <f t="shared" si="0"/>
        <v>40.357723577235774</v>
      </c>
      <c r="J4" s="18">
        <v>13</v>
      </c>
      <c r="K4" s="19">
        <v>2</v>
      </c>
      <c r="L4" s="16">
        <v>167787.39999999997</v>
      </c>
      <c r="M4" s="18">
        <v>21410</v>
      </c>
      <c r="N4" s="20">
        <v>46171</v>
      </c>
      <c r="O4" s="40" t="s">
        <v>46</v>
      </c>
    </row>
    <row r="5" spans="1:15" s="2" customFormat="1" ht="24.9" customHeight="1">
      <c r="A5" s="7">
        <v>3</v>
      </c>
      <c r="B5" s="12">
        <v>3</v>
      </c>
      <c r="C5" s="8" t="s">
        <v>251</v>
      </c>
      <c r="D5" s="9">
        <v>19084.47</v>
      </c>
      <c r="E5" s="9">
        <v>23208.080000000002</v>
      </c>
      <c r="F5" s="10">
        <f>(D5-E5)/E5</f>
        <v>-0.17767992871448221</v>
      </c>
      <c r="G5" s="11">
        <v>2536</v>
      </c>
      <c r="H5" s="11">
        <v>57</v>
      </c>
      <c r="I5" s="12">
        <f t="shared" si="0"/>
        <v>44.491228070175438</v>
      </c>
      <c r="J5" s="11">
        <v>15</v>
      </c>
      <c r="K5" s="12">
        <v>7</v>
      </c>
      <c r="L5" s="9">
        <v>551455</v>
      </c>
      <c r="M5" s="11">
        <v>70992</v>
      </c>
      <c r="N5" s="13">
        <v>46136</v>
      </c>
      <c r="O5" s="39" t="s">
        <v>207</v>
      </c>
    </row>
    <row r="6" spans="1:15" s="2" customFormat="1" ht="24.9" customHeight="1">
      <c r="A6" s="7">
        <v>4</v>
      </c>
      <c r="B6" s="12">
        <v>2</v>
      </c>
      <c r="C6" s="8" t="s">
        <v>263</v>
      </c>
      <c r="D6" s="9">
        <v>14744.95</v>
      </c>
      <c r="E6" s="9">
        <v>26332.84</v>
      </c>
      <c r="F6" s="10">
        <f>(D6-E6)/E6</f>
        <v>-0.44005469975893219</v>
      </c>
      <c r="G6" s="11">
        <v>1853</v>
      </c>
      <c r="H6" s="11">
        <v>73</v>
      </c>
      <c r="I6" s="12">
        <f t="shared" si="0"/>
        <v>25.383561643835616</v>
      </c>
      <c r="J6" s="11">
        <v>16</v>
      </c>
      <c r="K6" s="12">
        <v>6</v>
      </c>
      <c r="L6" s="9">
        <v>872608.48</v>
      </c>
      <c r="M6" s="11">
        <v>103233</v>
      </c>
      <c r="N6" s="13">
        <v>46143</v>
      </c>
      <c r="O6" s="39" t="s">
        <v>37</v>
      </c>
    </row>
    <row r="7" spans="1:15" s="2" customFormat="1" ht="24.9" customHeight="1">
      <c r="A7" s="14">
        <v>5</v>
      </c>
      <c r="B7" s="19" t="s">
        <v>49</v>
      </c>
      <c r="C7" s="15" t="s">
        <v>306</v>
      </c>
      <c r="D7" s="16">
        <v>14605.58</v>
      </c>
      <c r="E7" s="12" t="s">
        <v>13</v>
      </c>
      <c r="F7" s="12" t="s">
        <v>13</v>
      </c>
      <c r="G7" s="18">
        <v>2509</v>
      </c>
      <c r="H7" s="18">
        <v>92</v>
      </c>
      <c r="I7" s="19">
        <f t="shared" si="0"/>
        <v>27.271739130434781</v>
      </c>
      <c r="J7" s="18">
        <v>14</v>
      </c>
      <c r="K7" s="19">
        <v>1</v>
      </c>
      <c r="L7" s="16">
        <v>15365.13</v>
      </c>
      <c r="M7" s="18">
        <v>2756</v>
      </c>
      <c r="N7" s="20">
        <v>46178</v>
      </c>
      <c r="O7" s="40" t="s">
        <v>42</v>
      </c>
    </row>
    <row r="8" spans="1:15" s="2" customFormat="1" ht="24.9" customHeight="1">
      <c r="A8" s="7">
        <v>6</v>
      </c>
      <c r="B8" s="12">
        <v>5</v>
      </c>
      <c r="C8" s="8" t="s">
        <v>290</v>
      </c>
      <c r="D8" s="9">
        <v>13059.93</v>
      </c>
      <c r="E8" s="9">
        <v>14010.67</v>
      </c>
      <c r="F8" s="10">
        <f>(D8-E8)/E8</f>
        <v>-6.7858282294850983E-2</v>
      </c>
      <c r="G8" s="11">
        <v>2232</v>
      </c>
      <c r="H8" s="11">
        <v>76</v>
      </c>
      <c r="I8" s="12">
        <f t="shared" si="0"/>
        <v>29.368421052631579</v>
      </c>
      <c r="J8" s="11">
        <v>16</v>
      </c>
      <c r="K8" s="12">
        <v>2</v>
      </c>
      <c r="L8" s="9">
        <v>44579.1</v>
      </c>
      <c r="M8" s="11">
        <v>8634</v>
      </c>
      <c r="N8" s="13">
        <v>46171</v>
      </c>
      <c r="O8" s="39" t="s">
        <v>42</v>
      </c>
    </row>
    <row r="9" spans="1:15" s="2" customFormat="1" ht="24.9" customHeight="1">
      <c r="A9" s="7">
        <v>7</v>
      </c>
      <c r="B9" s="12">
        <v>4</v>
      </c>
      <c r="C9" s="8" t="s">
        <v>292</v>
      </c>
      <c r="D9" s="9">
        <v>10159.459999999999</v>
      </c>
      <c r="E9" s="9">
        <v>21904.65</v>
      </c>
      <c r="F9" s="10">
        <f>(D9-E9)/E9</f>
        <v>-0.53619619578491329</v>
      </c>
      <c r="G9" s="11">
        <v>1160</v>
      </c>
      <c r="H9" s="11">
        <v>43</v>
      </c>
      <c r="I9" s="12">
        <v>21.985507246376812</v>
      </c>
      <c r="J9" s="11">
        <v>13</v>
      </c>
      <c r="K9" s="12">
        <v>3</v>
      </c>
      <c r="L9" s="9">
        <v>89954.240000000005</v>
      </c>
      <c r="M9" s="11">
        <v>10132</v>
      </c>
      <c r="N9" s="13">
        <v>46164</v>
      </c>
      <c r="O9" s="39" t="s">
        <v>37</v>
      </c>
    </row>
    <row r="10" spans="1:15" s="2" customFormat="1" ht="24.9" customHeight="1">
      <c r="A10" s="14">
        <v>8</v>
      </c>
      <c r="B10" s="19" t="s">
        <v>49</v>
      </c>
      <c r="C10" s="15" t="s">
        <v>307</v>
      </c>
      <c r="D10" s="16">
        <v>8087.65</v>
      </c>
      <c r="E10" s="19" t="s">
        <v>13</v>
      </c>
      <c r="F10" s="10" t="s">
        <v>13</v>
      </c>
      <c r="G10" s="18">
        <v>1013</v>
      </c>
      <c r="H10" s="18">
        <v>83</v>
      </c>
      <c r="I10" s="19">
        <f t="shared" ref="I10:I17" si="1">G10/H10</f>
        <v>12.204819277108435</v>
      </c>
      <c r="J10" s="18">
        <v>12</v>
      </c>
      <c r="K10" s="19">
        <v>1</v>
      </c>
      <c r="L10" s="16">
        <v>8703.2900000000009</v>
      </c>
      <c r="M10" s="18">
        <v>1108</v>
      </c>
      <c r="N10" s="20">
        <v>46178</v>
      </c>
      <c r="O10" s="40" t="s">
        <v>39</v>
      </c>
    </row>
    <row r="11" spans="1:15" s="2" customFormat="1" ht="24.9" customHeight="1">
      <c r="A11" s="7">
        <v>9</v>
      </c>
      <c r="B11" s="12">
        <v>8</v>
      </c>
      <c r="C11" s="8" t="s">
        <v>216</v>
      </c>
      <c r="D11" s="9">
        <v>6643.16</v>
      </c>
      <c r="E11" s="9">
        <v>8538.08</v>
      </c>
      <c r="F11" s="10">
        <f t="shared" ref="F11:F16" si="2">(D11-E11)/E11</f>
        <v>-0.22193748477409442</v>
      </c>
      <c r="G11" s="11">
        <v>1123</v>
      </c>
      <c r="H11" s="11">
        <v>34</v>
      </c>
      <c r="I11" s="12">
        <f t="shared" si="1"/>
        <v>33.029411764705884</v>
      </c>
      <c r="J11" s="11">
        <v>8</v>
      </c>
      <c r="K11" s="12">
        <v>11</v>
      </c>
      <c r="L11" s="9">
        <v>508179.26</v>
      </c>
      <c r="M11" s="11">
        <v>81550</v>
      </c>
      <c r="N11" s="13">
        <v>46113</v>
      </c>
      <c r="O11" s="39" t="s">
        <v>207</v>
      </c>
    </row>
    <row r="12" spans="1:15" s="2" customFormat="1" ht="24.9" customHeight="1">
      <c r="A12" s="7">
        <v>10</v>
      </c>
      <c r="B12" s="12">
        <v>6</v>
      </c>
      <c r="C12" s="8" t="s">
        <v>262</v>
      </c>
      <c r="D12" s="9">
        <v>6509.27</v>
      </c>
      <c r="E12" s="9">
        <v>9695.64</v>
      </c>
      <c r="F12" s="10">
        <f t="shared" si="2"/>
        <v>-0.32863947093745222</v>
      </c>
      <c r="G12" s="11">
        <v>1054</v>
      </c>
      <c r="H12" s="11">
        <v>43</v>
      </c>
      <c r="I12" s="12">
        <f t="shared" si="1"/>
        <v>24.511627906976745</v>
      </c>
      <c r="J12" s="11">
        <v>10</v>
      </c>
      <c r="K12" s="12">
        <v>5</v>
      </c>
      <c r="L12" s="9">
        <v>100333.39</v>
      </c>
      <c r="M12" s="11">
        <v>17009</v>
      </c>
      <c r="N12" s="13">
        <v>46150</v>
      </c>
      <c r="O12" s="39" t="s">
        <v>39</v>
      </c>
    </row>
    <row r="13" spans="1:15" s="2" customFormat="1" ht="24.9" customHeight="1">
      <c r="A13" s="14">
        <v>11</v>
      </c>
      <c r="B13" s="19">
        <v>7</v>
      </c>
      <c r="C13" s="15" t="s">
        <v>296</v>
      </c>
      <c r="D13" s="16">
        <v>4545.42</v>
      </c>
      <c r="E13" s="16">
        <v>9644.5400000000009</v>
      </c>
      <c r="F13" s="10">
        <f t="shared" si="2"/>
        <v>-0.52870536075333818</v>
      </c>
      <c r="G13" s="18">
        <v>575</v>
      </c>
      <c r="H13" s="18">
        <v>26</v>
      </c>
      <c r="I13" s="19">
        <f t="shared" si="1"/>
        <v>22.115384615384617</v>
      </c>
      <c r="J13" s="18">
        <v>10</v>
      </c>
      <c r="K13" s="19">
        <v>2</v>
      </c>
      <c r="L13" s="16">
        <v>18044.21</v>
      </c>
      <c r="M13" s="18">
        <v>2494</v>
      </c>
      <c r="N13" s="20">
        <v>46171</v>
      </c>
      <c r="O13" s="40" t="s">
        <v>42</v>
      </c>
    </row>
    <row r="14" spans="1:15" s="2" customFormat="1" ht="24.9" customHeight="1">
      <c r="A14" s="7">
        <v>12</v>
      </c>
      <c r="B14" s="12">
        <v>10</v>
      </c>
      <c r="C14" s="8" t="s">
        <v>184</v>
      </c>
      <c r="D14" s="9">
        <v>3245.39</v>
      </c>
      <c r="E14" s="9">
        <v>3867.65</v>
      </c>
      <c r="F14" s="10">
        <f t="shared" si="2"/>
        <v>-0.16088839476167704</v>
      </c>
      <c r="G14" s="11">
        <v>415</v>
      </c>
      <c r="H14" s="11">
        <v>13</v>
      </c>
      <c r="I14" s="12">
        <f t="shared" si="1"/>
        <v>31.923076923076923</v>
      </c>
      <c r="J14" s="11">
        <v>6</v>
      </c>
      <c r="K14" s="12">
        <v>12</v>
      </c>
      <c r="L14" s="9">
        <v>697167.68</v>
      </c>
      <c r="M14" s="11">
        <v>79039</v>
      </c>
      <c r="N14" s="13">
        <v>46101</v>
      </c>
      <c r="O14" s="39" t="s">
        <v>39</v>
      </c>
    </row>
    <row r="15" spans="1:15" s="2" customFormat="1" ht="24.6" customHeight="1">
      <c r="A15" s="7">
        <v>13</v>
      </c>
      <c r="B15" s="12">
        <v>11</v>
      </c>
      <c r="C15" s="8" t="s">
        <v>283</v>
      </c>
      <c r="D15" s="9">
        <v>1566.07</v>
      </c>
      <c r="E15" s="9">
        <v>3859.3</v>
      </c>
      <c r="F15" s="10">
        <f t="shared" si="2"/>
        <v>-0.59420879434094276</v>
      </c>
      <c r="G15" s="11">
        <v>203</v>
      </c>
      <c r="H15" s="11">
        <v>8</v>
      </c>
      <c r="I15" s="12">
        <f t="shared" si="1"/>
        <v>25.375</v>
      </c>
      <c r="J15" s="11">
        <v>3</v>
      </c>
      <c r="K15" s="12">
        <v>4</v>
      </c>
      <c r="L15" s="9">
        <v>38273.5</v>
      </c>
      <c r="M15" s="11">
        <v>5471</v>
      </c>
      <c r="N15" s="13">
        <v>46157</v>
      </c>
      <c r="O15" s="39" t="s">
        <v>42</v>
      </c>
    </row>
    <row r="16" spans="1:15" s="2" customFormat="1" ht="24.9" customHeight="1">
      <c r="A16" s="14">
        <v>14</v>
      </c>
      <c r="B16" s="19">
        <v>9</v>
      </c>
      <c r="C16" s="15" t="s">
        <v>291</v>
      </c>
      <c r="D16" s="16">
        <v>966.6</v>
      </c>
      <c r="E16" s="16">
        <v>4427.87</v>
      </c>
      <c r="F16" s="17">
        <f t="shared" si="2"/>
        <v>-0.78170090811157511</v>
      </c>
      <c r="G16" s="18">
        <v>127</v>
      </c>
      <c r="H16" s="18">
        <v>6</v>
      </c>
      <c r="I16" s="19">
        <f t="shared" si="1"/>
        <v>21.166666666666668</v>
      </c>
      <c r="J16" s="18">
        <v>2</v>
      </c>
      <c r="K16" s="19">
        <v>3</v>
      </c>
      <c r="L16" s="16">
        <v>25545.42</v>
      </c>
      <c r="M16" s="18">
        <v>3412</v>
      </c>
      <c r="N16" s="20">
        <v>46164</v>
      </c>
      <c r="O16" s="40" t="s">
        <v>279</v>
      </c>
    </row>
    <row r="17" spans="1:15" s="2" customFormat="1" ht="24.9" customHeight="1">
      <c r="A17" s="14">
        <v>15</v>
      </c>
      <c r="B17" s="16" t="s">
        <v>13</v>
      </c>
      <c r="C17" s="15" t="s">
        <v>314</v>
      </c>
      <c r="D17" s="16">
        <v>800</v>
      </c>
      <c r="E17" s="19" t="s">
        <v>13</v>
      </c>
      <c r="F17" s="19" t="s">
        <v>13</v>
      </c>
      <c r="G17" s="18">
        <v>600</v>
      </c>
      <c r="H17" s="18">
        <v>2</v>
      </c>
      <c r="I17" s="19">
        <f t="shared" si="1"/>
        <v>300</v>
      </c>
      <c r="J17" s="18">
        <v>1</v>
      </c>
      <c r="K17" s="12" t="s">
        <v>13</v>
      </c>
      <c r="L17" s="16">
        <v>2693.63</v>
      </c>
      <c r="M17" s="18">
        <v>933</v>
      </c>
      <c r="N17" s="20">
        <v>46136</v>
      </c>
      <c r="O17" s="40" t="s">
        <v>183</v>
      </c>
    </row>
    <row r="18" spans="1:15" ht="24.9" customHeight="1">
      <c r="A18" s="14">
        <v>16</v>
      </c>
      <c r="B18" s="19" t="s">
        <v>13</v>
      </c>
      <c r="C18" s="15" t="s">
        <v>305</v>
      </c>
      <c r="D18" s="16">
        <v>769</v>
      </c>
      <c r="E18" s="19" t="s">
        <v>13</v>
      </c>
      <c r="F18" s="19" t="s">
        <v>13</v>
      </c>
      <c r="G18" s="18">
        <v>321</v>
      </c>
      <c r="H18" s="19" t="s">
        <v>13</v>
      </c>
      <c r="I18" s="19" t="s">
        <v>13</v>
      </c>
      <c r="J18" s="18">
        <v>4</v>
      </c>
      <c r="K18" s="19" t="s">
        <v>13</v>
      </c>
      <c r="L18" s="16">
        <v>17032</v>
      </c>
      <c r="M18" s="18">
        <v>3760</v>
      </c>
      <c r="N18" s="20">
        <v>45884</v>
      </c>
      <c r="O18" s="40" t="s">
        <v>44</v>
      </c>
    </row>
    <row r="19" spans="1:15" s="1" customFormat="1" ht="24.9" customHeight="1">
      <c r="A19" s="14">
        <v>17</v>
      </c>
      <c r="B19" s="19" t="s">
        <v>13</v>
      </c>
      <c r="C19" s="15" t="s">
        <v>304</v>
      </c>
      <c r="D19" s="16">
        <v>621</v>
      </c>
      <c r="E19" s="19" t="s">
        <v>13</v>
      </c>
      <c r="F19" s="19" t="s">
        <v>13</v>
      </c>
      <c r="G19" s="18">
        <v>261</v>
      </c>
      <c r="H19" s="19" t="s">
        <v>13</v>
      </c>
      <c r="I19" s="19" t="s">
        <v>13</v>
      </c>
      <c r="J19" s="18">
        <v>4</v>
      </c>
      <c r="K19" s="19" t="s">
        <v>13</v>
      </c>
      <c r="L19" s="16">
        <v>49731</v>
      </c>
      <c r="M19" s="18">
        <v>9179</v>
      </c>
      <c r="N19" s="20">
        <v>45723</v>
      </c>
      <c r="O19" s="40" t="s">
        <v>44</v>
      </c>
    </row>
    <row r="20" spans="1:15" s="1" customFormat="1" ht="24.9" customHeight="1">
      <c r="A20" s="14">
        <v>18</v>
      </c>
      <c r="B20" s="19">
        <v>27</v>
      </c>
      <c r="C20" s="15" t="s">
        <v>295</v>
      </c>
      <c r="D20" s="16">
        <v>613.08000000000004</v>
      </c>
      <c r="E20" s="16">
        <v>220</v>
      </c>
      <c r="F20" s="10">
        <f>(D20-E20)/E20</f>
        <v>1.7867272727272729</v>
      </c>
      <c r="G20" s="18">
        <v>167</v>
      </c>
      <c r="H20" s="18">
        <v>2</v>
      </c>
      <c r="I20" s="19">
        <f t="shared" ref="I20:I41" si="3">G20/H20</f>
        <v>83.5</v>
      </c>
      <c r="J20" s="18">
        <v>2</v>
      </c>
      <c r="K20" s="19" t="s">
        <v>13</v>
      </c>
      <c r="L20" s="16">
        <v>55495.569999999992</v>
      </c>
      <c r="M20" s="18">
        <v>11959</v>
      </c>
      <c r="N20" s="20">
        <v>45541</v>
      </c>
      <c r="O20" s="40" t="s">
        <v>46</v>
      </c>
    </row>
    <row r="21" spans="1:15" s="1" customFormat="1" ht="24.9" customHeight="1">
      <c r="A21" s="7">
        <v>19</v>
      </c>
      <c r="B21" s="12">
        <v>37</v>
      </c>
      <c r="C21" s="8" t="s">
        <v>191</v>
      </c>
      <c r="D21" s="9">
        <v>591.70000000000005</v>
      </c>
      <c r="E21" s="9">
        <v>0</v>
      </c>
      <c r="F21" s="10" t="e">
        <f>(D21-E21)/E21</f>
        <v>#DIV/0!</v>
      </c>
      <c r="G21" s="11">
        <v>92</v>
      </c>
      <c r="H21" s="11">
        <v>2</v>
      </c>
      <c r="I21" s="12">
        <f t="shared" si="3"/>
        <v>46</v>
      </c>
      <c r="J21" s="11">
        <v>2</v>
      </c>
      <c r="K21" s="12" t="s">
        <v>13</v>
      </c>
      <c r="L21" s="9">
        <v>49507.48</v>
      </c>
      <c r="M21" s="11">
        <v>6986</v>
      </c>
      <c r="N21" s="13">
        <v>46104</v>
      </c>
      <c r="O21" s="39" t="s">
        <v>47</v>
      </c>
    </row>
    <row r="22" spans="1:15" s="1" customFormat="1" ht="24.9" customHeight="1">
      <c r="A22" s="7">
        <v>20</v>
      </c>
      <c r="B22" s="12">
        <v>14</v>
      </c>
      <c r="C22" s="8" t="s">
        <v>170</v>
      </c>
      <c r="D22" s="9">
        <v>549.5</v>
      </c>
      <c r="E22" s="9">
        <v>1210.68</v>
      </c>
      <c r="F22" s="10">
        <f>(D22-E22)/E22</f>
        <v>-0.54612284005682754</v>
      </c>
      <c r="G22" s="11">
        <v>85</v>
      </c>
      <c r="H22" s="11">
        <v>3</v>
      </c>
      <c r="I22" s="12">
        <f t="shared" si="3"/>
        <v>28.333333333333332</v>
      </c>
      <c r="J22" s="11">
        <v>1</v>
      </c>
      <c r="K22" s="12">
        <v>14</v>
      </c>
      <c r="L22" s="9">
        <v>391138.06</v>
      </c>
      <c r="M22" s="11">
        <v>65227</v>
      </c>
      <c r="N22" s="13">
        <v>46087</v>
      </c>
      <c r="O22" s="39" t="s">
        <v>37</v>
      </c>
    </row>
    <row r="23" spans="1:15" s="1" customFormat="1" ht="24.9" customHeight="1">
      <c r="A23" s="7">
        <v>21</v>
      </c>
      <c r="B23" s="12">
        <v>18</v>
      </c>
      <c r="C23" s="8" t="s">
        <v>273</v>
      </c>
      <c r="D23" s="9">
        <v>399.55</v>
      </c>
      <c r="E23" s="9">
        <v>614.20000000000005</v>
      </c>
      <c r="F23" s="10">
        <f>(D23-E23)/E23</f>
        <v>-0.34947899706935853</v>
      </c>
      <c r="G23" s="11">
        <v>58</v>
      </c>
      <c r="H23" s="11">
        <v>3</v>
      </c>
      <c r="I23" s="12">
        <f t="shared" si="3"/>
        <v>19.333333333333332</v>
      </c>
      <c r="J23" s="11">
        <v>3</v>
      </c>
      <c r="K23" s="12" t="s">
        <v>13</v>
      </c>
      <c r="L23" s="16">
        <v>4818.55</v>
      </c>
      <c r="M23" s="18">
        <v>833</v>
      </c>
      <c r="N23" s="13">
        <v>46143</v>
      </c>
      <c r="O23" s="39" t="s">
        <v>51</v>
      </c>
    </row>
    <row r="24" spans="1:15" s="1" customFormat="1" ht="24.6" customHeight="1">
      <c r="A24" s="14">
        <v>22</v>
      </c>
      <c r="B24" s="19" t="s">
        <v>13</v>
      </c>
      <c r="C24" s="15" t="s">
        <v>240</v>
      </c>
      <c r="D24" s="16">
        <v>358.56</v>
      </c>
      <c r="E24" s="19" t="s">
        <v>13</v>
      </c>
      <c r="F24" s="19" t="s">
        <v>13</v>
      </c>
      <c r="G24" s="18">
        <v>80</v>
      </c>
      <c r="H24" s="18">
        <v>2</v>
      </c>
      <c r="I24" s="19">
        <f t="shared" si="3"/>
        <v>40</v>
      </c>
      <c r="J24" s="18">
        <v>2</v>
      </c>
      <c r="K24" s="19">
        <v>8</v>
      </c>
      <c r="L24" s="16">
        <v>24706.51</v>
      </c>
      <c r="M24" s="18">
        <v>4356</v>
      </c>
      <c r="N24" s="20">
        <v>46129</v>
      </c>
      <c r="O24" s="40" t="s">
        <v>42</v>
      </c>
    </row>
    <row r="25" spans="1:15" s="1" customFormat="1" ht="24.9" customHeight="1">
      <c r="A25" s="7">
        <v>23</v>
      </c>
      <c r="B25" s="12">
        <v>25</v>
      </c>
      <c r="C25" s="8" t="s">
        <v>257</v>
      </c>
      <c r="D25" s="9">
        <v>293</v>
      </c>
      <c r="E25" s="9">
        <v>276.98</v>
      </c>
      <c r="F25" s="10">
        <f>(D25-E25)/E25</f>
        <v>5.7838111054949744E-2</v>
      </c>
      <c r="G25" s="11">
        <v>76</v>
      </c>
      <c r="H25" s="11">
        <v>2</v>
      </c>
      <c r="I25" s="12">
        <f t="shared" si="3"/>
        <v>38</v>
      </c>
      <c r="J25" s="11">
        <v>2</v>
      </c>
      <c r="K25" s="12">
        <v>6</v>
      </c>
      <c r="L25" s="9">
        <v>18576.559999999998</v>
      </c>
      <c r="M25" s="11">
        <v>3630</v>
      </c>
      <c r="N25" s="13">
        <v>46143</v>
      </c>
      <c r="O25" s="39" t="s">
        <v>46</v>
      </c>
    </row>
    <row r="26" spans="1:15" ht="24.9" customHeight="1">
      <c r="A26" s="7">
        <v>24</v>
      </c>
      <c r="B26" s="12">
        <v>13</v>
      </c>
      <c r="C26" s="8" t="s">
        <v>261</v>
      </c>
      <c r="D26" s="9">
        <v>249</v>
      </c>
      <c r="E26" s="9">
        <v>1282.19</v>
      </c>
      <c r="F26" s="10">
        <f>(D26-E26)/E26</f>
        <v>-0.80580101233046586</v>
      </c>
      <c r="G26" s="11">
        <v>34</v>
      </c>
      <c r="H26" s="11">
        <v>2</v>
      </c>
      <c r="I26" s="12">
        <f t="shared" si="3"/>
        <v>17</v>
      </c>
      <c r="J26" s="11">
        <v>1</v>
      </c>
      <c r="K26" s="12">
        <v>6</v>
      </c>
      <c r="L26" s="9">
        <v>52075.03</v>
      </c>
      <c r="M26" s="11">
        <v>7125</v>
      </c>
      <c r="N26" s="13">
        <v>46143</v>
      </c>
      <c r="O26" s="39" t="s">
        <v>42</v>
      </c>
    </row>
    <row r="27" spans="1:15" s="1" customFormat="1" ht="24.9" customHeight="1">
      <c r="A27" s="7">
        <v>25</v>
      </c>
      <c r="B27" s="12">
        <v>15</v>
      </c>
      <c r="C27" s="8" t="s">
        <v>235</v>
      </c>
      <c r="D27" s="9">
        <v>228.26</v>
      </c>
      <c r="E27" s="9">
        <v>853.9</v>
      </c>
      <c r="F27" s="10">
        <f>(D27-E27)/E27</f>
        <v>-0.73268532615060311</v>
      </c>
      <c r="G27" s="11">
        <v>26</v>
      </c>
      <c r="H27" s="11">
        <v>7</v>
      </c>
      <c r="I27" s="12">
        <f t="shared" si="3"/>
        <v>3.7142857142857144</v>
      </c>
      <c r="J27" s="11">
        <v>2</v>
      </c>
      <c r="K27" s="12">
        <v>8</v>
      </c>
      <c r="L27" s="9">
        <v>197236.48000000001</v>
      </c>
      <c r="M27" s="11">
        <v>27290</v>
      </c>
      <c r="N27" s="13">
        <v>46122</v>
      </c>
      <c r="O27" s="39" t="s">
        <v>47</v>
      </c>
    </row>
    <row r="28" spans="1:15" s="1" customFormat="1" ht="24.9" customHeight="1">
      <c r="A28" s="7">
        <v>26</v>
      </c>
      <c r="B28" s="12">
        <v>34</v>
      </c>
      <c r="C28" s="8" t="s">
        <v>233</v>
      </c>
      <c r="D28" s="9">
        <v>203.4</v>
      </c>
      <c r="E28" s="9">
        <v>61.7</v>
      </c>
      <c r="F28" s="10">
        <f>(D28-E28)/E28</f>
        <v>2.2965964343598051</v>
      </c>
      <c r="G28" s="11">
        <v>35</v>
      </c>
      <c r="H28" s="11">
        <v>2</v>
      </c>
      <c r="I28" s="12">
        <f t="shared" si="3"/>
        <v>17.5</v>
      </c>
      <c r="J28" s="11">
        <v>2</v>
      </c>
      <c r="K28" s="12" t="s">
        <v>13</v>
      </c>
      <c r="L28" s="9">
        <v>26506.49</v>
      </c>
      <c r="M28" s="11">
        <v>3621</v>
      </c>
      <c r="N28" s="13">
        <v>46104</v>
      </c>
      <c r="O28" s="39" t="s">
        <v>47</v>
      </c>
    </row>
    <row r="29" spans="1:15" s="1" customFormat="1" ht="24.9" customHeight="1">
      <c r="A29" s="7">
        <v>27</v>
      </c>
      <c r="B29" s="12">
        <v>21</v>
      </c>
      <c r="C29" s="8" t="s">
        <v>243</v>
      </c>
      <c r="D29" s="9">
        <v>196</v>
      </c>
      <c r="E29" s="9">
        <v>436.33999999999992</v>
      </c>
      <c r="F29" s="10">
        <v>0.73100381194409125</v>
      </c>
      <c r="G29" s="11">
        <v>32</v>
      </c>
      <c r="H29" s="11">
        <v>3</v>
      </c>
      <c r="I29" s="12">
        <f t="shared" si="3"/>
        <v>10.666666666666666</v>
      </c>
      <c r="J29" s="11">
        <v>3</v>
      </c>
      <c r="K29" s="12">
        <v>8</v>
      </c>
      <c r="L29" s="9">
        <v>5231.1000000000004</v>
      </c>
      <c r="M29" s="11">
        <v>951</v>
      </c>
      <c r="N29" s="13">
        <v>46129</v>
      </c>
      <c r="O29" s="39" t="s">
        <v>43</v>
      </c>
    </row>
    <row r="30" spans="1:15" ht="24.9" customHeight="1">
      <c r="A30" s="7">
        <v>28</v>
      </c>
      <c r="B30" s="12">
        <v>22</v>
      </c>
      <c r="C30" s="8" t="s">
        <v>230</v>
      </c>
      <c r="D30" s="9">
        <v>195.85</v>
      </c>
      <c r="E30" s="9">
        <v>434</v>
      </c>
      <c r="F30" s="10">
        <f>(D30-E30)/E30</f>
        <v>-0.54873271889400921</v>
      </c>
      <c r="G30" s="11">
        <v>23</v>
      </c>
      <c r="H30" s="11">
        <v>1</v>
      </c>
      <c r="I30" s="12">
        <f t="shared" si="3"/>
        <v>23</v>
      </c>
      <c r="J30" s="11">
        <v>1</v>
      </c>
      <c r="K30" s="12" t="s">
        <v>13</v>
      </c>
      <c r="L30" s="16">
        <v>15761.1</v>
      </c>
      <c r="M30" s="18">
        <v>2641</v>
      </c>
      <c r="N30" s="13">
        <v>46122</v>
      </c>
      <c r="O30" s="39" t="s">
        <v>51</v>
      </c>
    </row>
    <row r="31" spans="1:15" ht="24.9" customHeight="1">
      <c r="A31" s="14">
        <v>29</v>
      </c>
      <c r="B31" s="19" t="s">
        <v>13</v>
      </c>
      <c r="C31" s="15" t="s">
        <v>303</v>
      </c>
      <c r="D31" s="16">
        <v>175</v>
      </c>
      <c r="E31" s="19" t="s">
        <v>13</v>
      </c>
      <c r="F31" s="19" t="s">
        <v>13</v>
      </c>
      <c r="G31" s="18">
        <v>25</v>
      </c>
      <c r="H31" s="18">
        <v>1</v>
      </c>
      <c r="I31" s="19">
        <f t="shared" si="3"/>
        <v>25</v>
      </c>
      <c r="J31" s="18">
        <v>1</v>
      </c>
      <c r="K31" s="19" t="s">
        <v>13</v>
      </c>
      <c r="L31" s="16">
        <v>16275</v>
      </c>
      <c r="M31" s="18">
        <v>2353</v>
      </c>
      <c r="N31" s="20">
        <v>46059</v>
      </c>
      <c r="O31" s="40" t="s">
        <v>51</v>
      </c>
    </row>
    <row r="32" spans="1:15" s="1" customFormat="1" ht="24.9" customHeight="1">
      <c r="A32" s="14">
        <v>30</v>
      </c>
      <c r="B32" s="19" t="s">
        <v>13</v>
      </c>
      <c r="C32" s="15" t="s">
        <v>78</v>
      </c>
      <c r="D32" s="16">
        <v>160.97</v>
      </c>
      <c r="E32" s="16" t="s">
        <v>13</v>
      </c>
      <c r="F32" s="17" t="s">
        <v>13</v>
      </c>
      <c r="G32" s="18">
        <v>25</v>
      </c>
      <c r="H32" s="18">
        <v>1</v>
      </c>
      <c r="I32" s="19">
        <f t="shared" si="3"/>
        <v>25</v>
      </c>
      <c r="J32" s="18">
        <v>1</v>
      </c>
      <c r="K32" s="12" t="s">
        <v>13</v>
      </c>
      <c r="L32" s="9">
        <v>152903.20000000001</v>
      </c>
      <c r="M32" s="11">
        <v>21177</v>
      </c>
      <c r="N32" s="20">
        <v>46038</v>
      </c>
      <c r="O32" s="39" t="s">
        <v>47</v>
      </c>
    </row>
    <row r="33" spans="1:15" s="1" customFormat="1" ht="24.9" customHeight="1">
      <c r="A33" s="19">
        <v>31</v>
      </c>
      <c r="B33" s="19" t="s">
        <v>13</v>
      </c>
      <c r="C33" s="77" t="s">
        <v>270</v>
      </c>
      <c r="D33" s="16">
        <v>158.15</v>
      </c>
      <c r="E33" s="16" t="s">
        <v>13</v>
      </c>
      <c r="F33" s="17" t="s">
        <v>13</v>
      </c>
      <c r="G33" s="18">
        <v>18</v>
      </c>
      <c r="H33" s="19">
        <v>3</v>
      </c>
      <c r="I33" s="19">
        <f t="shared" si="3"/>
        <v>6</v>
      </c>
      <c r="J33" s="18">
        <v>1</v>
      </c>
      <c r="K33" s="18" t="s">
        <v>13</v>
      </c>
      <c r="L33" s="16">
        <v>34896.03</v>
      </c>
      <c r="M33" s="18">
        <v>5434</v>
      </c>
      <c r="N33" s="20">
        <v>45926</v>
      </c>
      <c r="O33" s="40" t="s">
        <v>47</v>
      </c>
    </row>
    <row r="34" spans="1:15" s="1" customFormat="1" ht="24.9" customHeight="1">
      <c r="A34" s="14">
        <v>32</v>
      </c>
      <c r="B34" s="19" t="s">
        <v>13</v>
      </c>
      <c r="C34" s="15" t="s">
        <v>29</v>
      </c>
      <c r="D34" s="16">
        <v>155</v>
      </c>
      <c r="E34" s="19" t="s">
        <v>13</v>
      </c>
      <c r="F34" s="19" t="s">
        <v>13</v>
      </c>
      <c r="G34" s="18">
        <v>68</v>
      </c>
      <c r="H34" s="18">
        <v>1</v>
      </c>
      <c r="I34" s="19">
        <f t="shared" si="3"/>
        <v>68</v>
      </c>
      <c r="J34" s="18">
        <v>1</v>
      </c>
      <c r="K34" s="19" t="s">
        <v>13</v>
      </c>
      <c r="L34" s="16">
        <v>32939.129999999997</v>
      </c>
      <c r="M34" s="18">
        <v>5822</v>
      </c>
      <c r="N34" s="20">
        <v>46024</v>
      </c>
      <c r="O34" s="39" t="s">
        <v>46</v>
      </c>
    </row>
    <row r="35" spans="1:15" s="1" customFormat="1" ht="24.9" customHeight="1">
      <c r="A35" s="7">
        <v>33</v>
      </c>
      <c r="B35" s="19">
        <v>24</v>
      </c>
      <c r="C35" s="15" t="s">
        <v>269</v>
      </c>
      <c r="D35" s="16">
        <v>154.4</v>
      </c>
      <c r="E35" s="16">
        <v>284.40000000000009</v>
      </c>
      <c r="F35" s="17">
        <f>(D35-E35)/E35</f>
        <v>-0.45710267229254586</v>
      </c>
      <c r="G35" s="18">
        <v>17</v>
      </c>
      <c r="H35" s="18">
        <v>2</v>
      </c>
      <c r="I35" s="19">
        <f t="shared" si="3"/>
        <v>8.5</v>
      </c>
      <c r="J35" s="18">
        <v>2</v>
      </c>
      <c r="K35" s="19">
        <v>5</v>
      </c>
      <c r="L35" s="16">
        <v>8392.9</v>
      </c>
      <c r="M35" s="18">
        <v>1121</v>
      </c>
      <c r="N35" s="20">
        <v>46150</v>
      </c>
      <c r="O35" s="40" t="s">
        <v>43</v>
      </c>
    </row>
    <row r="36" spans="1:15" ht="24.9" customHeight="1">
      <c r="A36" s="14">
        <v>34</v>
      </c>
      <c r="B36" s="19" t="s">
        <v>13</v>
      </c>
      <c r="C36" s="15" t="s">
        <v>313</v>
      </c>
      <c r="D36" s="16">
        <v>145.52000000000001</v>
      </c>
      <c r="E36" s="19" t="s">
        <v>13</v>
      </c>
      <c r="F36" s="19" t="s">
        <v>13</v>
      </c>
      <c r="G36" s="18">
        <v>21</v>
      </c>
      <c r="H36" s="18">
        <v>7</v>
      </c>
      <c r="I36" s="19">
        <f t="shared" si="3"/>
        <v>3</v>
      </c>
      <c r="J36" s="18">
        <v>3</v>
      </c>
      <c r="K36" s="19">
        <v>2</v>
      </c>
      <c r="L36" s="16">
        <v>1156.0899999999999</v>
      </c>
      <c r="M36" s="18">
        <v>199</v>
      </c>
      <c r="N36" s="20">
        <v>46171</v>
      </c>
      <c r="O36" s="40" t="s">
        <v>183</v>
      </c>
    </row>
    <row r="37" spans="1:15" ht="24.9" customHeight="1">
      <c r="A37" s="14">
        <v>35</v>
      </c>
      <c r="B37" s="12" t="s">
        <v>13</v>
      </c>
      <c r="C37" s="8" t="s">
        <v>266</v>
      </c>
      <c r="D37" s="16">
        <v>128.5</v>
      </c>
      <c r="E37" s="12" t="s">
        <v>13</v>
      </c>
      <c r="F37" s="12" t="s">
        <v>13</v>
      </c>
      <c r="G37" s="18">
        <v>53</v>
      </c>
      <c r="H37" s="18">
        <v>2</v>
      </c>
      <c r="I37" s="19">
        <f t="shared" si="3"/>
        <v>26.5</v>
      </c>
      <c r="J37" s="18">
        <v>1</v>
      </c>
      <c r="K37" s="19">
        <v>4</v>
      </c>
      <c r="L37" s="16">
        <v>1661.05</v>
      </c>
      <c r="M37" s="18">
        <v>656</v>
      </c>
      <c r="N37" s="20">
        <v>46150</v>
      </c>
      <c r="O37" s="40" t="s">
        <v>86</v>
      </c>
    </row>
    <row r="38" spans="1:15" s="1" customFormat="1" ht="24.9" customHeight="1">
      <c r="A38" s="14">
        <v>36</v>
      </c>
      <c r="B38" s="19">
        <v>33</v>
      </c>
      <c r="C38" s="15" t="s">
        <v>50</v>
      </c>
      <c r="D38" s="16">
        <v>126.84</v>
      </c>
      <c r="E38" s="16">
        <v>74</v>
      </c>
      <c r="F38" s="10">
        <f>(D38-E38)/E38</f>
        <v>0.71405405405405409</v>
      </c>
      <c r="G38" s="18">
        <v>22</v>
      </c>
      <c r="H38" s="18">
        <v>1</v>
      </c>
      <c r="I38" s="19">
        <f t="shared" si="3"/>
        <v>22</v>
      </c>
      <c r="J38" s="18">
        <v>1</v>
      </c>
      <c r="K38" s="12" t="s">
        <v>13</v>
      </c>
      <c r="L38" s="16">
        <v>50530</v>
      </c>
      <c r="M38" s="18">
        <v>7572</v>
      </c>
      <c r="N38" s="20">
        <v>46024</v>
      </c>
      <c r="O38" s="40" t="s">
        <v>51</v>
      </c>
    </row>
    <row r="39" spans="1:15" s="1" customFormat="1" ht="24.9" customHeight="1">
      <c r="A39" s="14">
        <v>37</v>
      </c>
      <c r="B39" s="19" t="s">
        <v>13</v>
      </c>
      <c r="C39" s="15" t="s">
        <v>54</v>
      </c>
      <c r="D39" s="16">
        <v>103.55</v>
      </c>
      <c r="E39" s="19" t="s">
        <v>13</v>
      </c>
      <c r="F39" s="19" t="s">
        <v>13</v>
      </c>
      <c r="G39" s="18">
        <v>12</v>
      </c>
      <c r="H39" s="18">
        <v>1</v>
      </c>
      <c r="I39" s="19">
        <f t="shared" si="3"/>
        <v>12</v>
      </c>
      <c r="J39" s="18">
        <v>1</v>
      </c>
      <c r="K39" s="19" t="s">
        <v>13</v>
      </c>
      <c r="L39" s="16">
        <v>316993.46000000002</v>
      </c>
      <c r="M39" s="18">
        <v>41081</v>
      </c>
      <c r="N39" s="20">
        <v>45926</v>
      </c>
      <c r="O39" s="40" t="s">
        <v>55</v>
      </c>
    </row>
    <row r="40" spans="1:15" s="1" customFormat="1" ht="24.9" customHeight="1">
      <c r="A40" s="14">
        <v>38</v>
      </c>
      <c r="B40" s="12" t="s">
        <v>13</v>
      </c>
      <c r="C40" s="8" t="s">
        <v>224</v>
      </c>
      <c r="D40" s="16">
        <v>102</v>
      </c>
      <c r="E40" s="12" t="s">
        <v>13</v>
      </c>
      <c r="F40" s="12" t="s">
        <v>13</v>
      </c>
      <c r="G40" s="18">
        <v>17</v>
      </c>
      <c r="H40" s="18">
        <v>2</v>
      </c>
      <c r="I40" s="19">
        <f t="shared" si="3"/>
        <v>8.5</v>
      </c>
      <c r="J40" s="18">
        <v>2</v>
      </c>
      <c r="K40" s="19" t="s">
        <v>13</v>
      </c>
      <c r="L40" s="16">
        <v>31341.63</v>
      </c>
      <c r="M40" s="18">
        <v>5332</v>
      </c>
      <c r="N40" s="13">
        <v>45919</v>
      </c>
      <c r="O40" s="39" t="s">
        <v>86</v>
      </c>
    </row>
    <row r="41" spans="1:15" s="1" customFormat="1" ht="24.9" customHeight="1">
      <c r="A41" s="14">
        <v>39</v>
      </c>
      <c r="B41" s="16" t="s">
        <v>13</v>
      </c>
      <c r="C41" s="15" t="s">
        <v>311</v>
      </c>
      <c r="D41" s="16">
        <v>97.48</v>
      </c>
      <c r="E41" s="19" t="s">
        <v>13</v>
      </c>
      <c r="F41" s="19" t="s">
        <v>13</v>
      </c>
      <c r="G41" s="18">
        <v>11</v>
      </c>
      <c r="H41" s="18">
        <v>1</v>
      </c>
      <c r="I41" s="19">
        <f t="shared" si="3"/>
        <v>11</v>
      </c>
      <c r="J41" s="18">
        <v>1</v>
      </c>
      <c r="K41" s="12" t="s">
        <v>13</v>
      </c>
      <c r="L41" s="16">
        <v>33840.550000000003</v>
      </c>
      <c r="M41" s="18">
        <v>5247</v>
      </c>
      <c r="N41" s="20">
        <v>45583</v>
      </c>
      <c r="O41" s="40" t="s">
        <v>94</v>
      </c>
    </row>
    <row r="42" spans="1:15" s="1" customFormat="1" ht="24.9" customHeight="1">
      <c r="A42" s="7">
        <v>40</v>
      </c>
      <c r="B42" s="12">
        <v>12</v>
      </c>
      <c r="C42" s="8" t="s">
        <v>248</v>
      </c>
      <c r="D42" s="9">
        <v>94</v>
      </c>
      <c r="E42" s="9">
        <v>1563</v>
      </c>
      <c r="F42" s="10">
        <f>(D42-E42)/E42</f>
        <v>-0.93985924504158669</v>
      </c>
      <c r="G42" s="11">
        <v>15</v>
      </c>
      <c r="H42" s="12" t="s">
        <v>13</v>
      </c>
      <c r="I42" s="12" t="s">
        <v>13</v>
      </c>
      <c r="J42" s="11">
        <v>1</v>
      </c>
      <c r="K42" s="12">
        <v>7</v>
      </c>
      <c r="L42" s="9">
        <v>72917</v>
      </c>
      <c r="M42" s="11">
        <v>13123</v>
      </c>
      <c r="N42" s="13">
        <v>46136</v>
      </c>
      <c r="O42" s="39" t="s">
        <v>44</v>
      </c>
    </row>
    <row r="43" spans="1:15" ht="24.9" customHeight="1">
      <c r="A43" s="14">
        <v>41</v>
      </c>
      <c r="B43" s="19" t="s">
        <v>13</v>
      </c>
      <c r="C43" s="15" t="s">
        <v>241</v>
      </c>
      <c r="D43" s="16">
        <v>86</v>
      </c>
      <c r="E43" s="19" t="s">
        <v>13</v>
      </c>
      <c r="F43" s="19" t="s">
        <v>13</v>
      </c>
      <c r="G43" s="18">
        <v>17</v>
      </c>
      <c r="H43" s="18">
        <v>1</v>
      </c>
      <c r="I43" s="19">
        <f t="shared" ref="I43:I48" si="4">G43/H43</f>
        <v>17</v>
      </c>
      <c r="J43" s="18">
        <v>1</v>
      </c>
      <c r="K43" s="19">
        <v>8</v>
      </c>
      <c r="L43" s="16">
        <v>4556.5600000000004</v>
      </c>
      <c r="M43" s="18">
        <v>712</v>
      </c>
      <c r="N43" s="20">
        <v>46129</v>
      </c>
      <c r="O43" s="40" t="s">
        <v>42</v>
      </c>
    </row>
    <row r="44" spans="1:15" ht="24.9" customHeight="1">
      <c r="A44" s="14">
        <v>42</v>
      </c>
      <c r="B44" s="16" t="s">
        <v>13</v>
      </c>
      <c r="C44" s="15" t="s">
        <v>299</v>
      </c>
      <c r="D44" s="16">
        <v>83.45</v>
      </c>
      <c r="E44" s="12" t="s">
        <v>13</v>
      </c>
      <c r="F44" s="12" t="s">
        <v>13</v>
      </c>
      <c r="G44" s="18">
        <v>15</v>
      </c>
      <c r="H44" s="18">
        <v>1</v>
      </c>
      <c r="I44" s="19">
        <f t="shared" si="4"/>
        <v>15</v>
      </c>
      <c r="J44" s="18">
        <v>1</v>
      </c>
      <c r="K44" s="12" t="s">
        <v>13</v>
      </c>
      <c r="L44" s="9">
        <v>12066.45</v>
      </c>
      <c r="M44" s="11">
        <v>2107</v>
      </c>
      <c r="N44" s="20">
        <v>45012</v>
      </c>
      <c r="O44" s="39" t="s">
        <v>47</v>
      </c>
    </row>
    <row r="45" spans="1:15" ht="24.9" customHeight="1">
      <c r="A45" s="14">
        <v>43</v>
      </c>
      <c r="B45" s="19">
        <v>35</v>
      </c>
      <c r="C45" s="15" t="s">
        <v>271</v>
      </c>
      <c r="D45" s="16">
        <v>76</v>
      </c>
      <c r="E45" s="16">
        <v>43</v>
      </c>
      <c r="F45" s="10">
        <f>(D45-E45)/E45</f>
        <v>0.76744186046511631</v>
      </c>
      <c r="G45" s="18">
        <v>15</v>
      </c>
      <c r="H45" s="18">
        <v>2</v>
      </c>
      <c r="I45" s="19">
        <f t="shared" si="4"/>
        <v>7.5</v>
      </c>
      <c r="J45" s="18">
        <v>2</v>
      </c>
      <c r="K45" s="19">
        <v>4</v>
      </c>
      <c r="L45" s="16">
        <v>2219.65</v>
      </c>
      <c r="M45" s="18">
        <v>301</v>
      </c>
      <c r="N45" s="20">
        <v>46157</v>
      </c>
      <c r="O45" s="40" t="s">
        <v>272</v>
      </c>
    </row>
    <row r="46" spans="1:15" ht="24.9" customHeight="1">
      <c r="A46" s="14">
        <v>44</v>
      </c>
      <c r="B46" s="16" t="s">
        <v>13</v>
      </c>
      <c r="C46" s="15" t="s">
        <v>234</v>
      </c>
      <c r="D46" s="16">
        <v>74</v>
      </c>
      <c r="E46" s="19" t="s">
        <v>13</v>
      </c>
      <c r="F46" s="19" t="s">
        <v>13</v>
      </c>
      <c r="G46" s="18">
        <v>11</v>
      </c>
      <c r="H46" s="18">
        <v>1</v>
      </c>
      <c r="I46" s="19">
        <f t="shared" si="4"/>
        <v>11</v>
      </c>
      <c r="J46" s="18">
        <v>1</v>
      </c>
      <c r="K46" s="19" t="s">
        <v>13</v>
      </c>
      <c r="L46" s="16">
        <v>1809.67</v>
      </c>
      <c r="M46" s="18">
        <v>271</v>
      </c>
      <c r="N46" s="20">
        <v>46104</v>
      </c>
      <c r="O46" s="40" t="s">
        <v>47</v>
      </c>
    </row>
    <row r="47" spans="1:15" ht="24.9" customHeight="1">
      <c r="A47" s="14">
        <v>45</v>
      </c>
      <c r="B47" s="16" t="s">
        <v>13</v>
      </c>
      <c r="C47" s="77" t="s">
        <v>194</v>
      </c>
      <c r="D47" s="16">
        <v>61.7</v>
      </c>
      <c r="E47" s="19" t="s">
        <v>13</v>
      </c>
      <c r="F47" s="19" t="s">
        <v>13</v>
      </c>
      <c r="G47" s="18">
        <v>8</v>
      </c>
      <c r="H47" s="18">
        <v>2</v>
      </c>
      <c r="I47" s="19">
        <f t="shared" si="4"/>
        <v>4</v>
      </c>
      <c r="J47" s="18">
        <v>2</v>
      </c>
      <c r="K47" s="19" t="s">
        <v>13</v>
      </c>
      <c r="L47" s="16">
        <v>5634.99</v>
      </c>
      <c r="M47" s="18">
        <v>807</v>
      </c>
      <c r="N47" s="20">
        <v>46104</v>
      </c>
      <c r="O47" s="40" t="s">
        <v>47</v>
      </c>
    </row>
    <row r="48" spans="1:15" ht="24.9" customHeight="1">
      <c r="A48" s="14">
        <v>46</v>
      </c>
      <c r="B48" s="16" t="s">
        <v>13</v>
      </c>
      <c r="C48" s="15" t="s">
        <v>301</v>
      </c>
      <c r="D48" s="16">
        <v>59.5</v>
      </c>
      <c r="E48" s="12" t="s">
        <v>13</v>
      </c>
      <c r="F48" s="12" t="s">
        <v>13</v>
      </c>
      <c r="G48" s="18">
        <v>11</v>
      </c>
      <c r="H48" s="18">
        <v>1</v>
      </c>
      <c r="I48" s="19">
        <f t="shared" si="4"/>
        <v>11</v>
      </c>
      <c r="J48" s="18">
        <v>1</v>
      </c>
      <c r="K48" s="12" t="s">
        <v>13</v>
      </c>
      <c r="L48" s="16">
        <v>384.05</v>
      </c>
      <c r="M48" s="18">
        <v>63</v>
      </c>
      <c r="N48" s="20">
        <v>46104</v>
      </c>
      <c r="O48" s="39" t="s">
        <v>47</v>
      </c>
    </row>
    <row r="49" spans="1:15" ht="24.9" customHeight="1">
      <c r="A49" s="7">
        <v>47</v>
      </c>
      <c r="B49" s="12">
        <v>26</v>
      </c>
      <c r="C49" s="8" t="s">
        <v>284</v>
      </c>
      <c r="D49" s="9">
        <v>56</v>
      </c>
      <c r="E49" s="9">
        <v>262</v>
      </c>
      <c r="F49" s="10">
        <f>(D49-E49)/E49</f>
        <v>-0.7862595419847328</v>
      </c>
      <c r="G49" s="11">
        <v>16</v>
      </c>
      <c r="H49" s="12" t="s">
        <v>13</v>
      </c>
      <c r="I49" s="12" t="s">
        <v>13</v>
      </c>
      <c r="J49" s="11">
        <v>1</v>
      </c>
      <c r="K49" s="12">
        <v>4</v>
      </c>
      <c r="L49" s="9">
        <v>13614</v>
      </c>
      <c r="M49" s="11">
        <v>2803</v>
      </c>
      <c r="N49" s="13">
        <v>46157</v>
      </c>
      <c r="O49" s="39" t="s">
        <v>44</v>
      </c>
    </row>
    <row r="50" spans="1:15" ht="24.9" customHeight="1">
      <c r="A50" s="14">
        <v>48</v>
      </c>
      <c r="B50" s="16" t="s">
        <v>13</v>
      </c>
      <c r="C50" s="15" t="s">
        <v>300</v>
      </c>
      <c r="D50" s="16">
        <v>50</v>
      </c>
      <c r="E50" s="12" t="s">
        <v>13</v>
      </c>
      <c r="F50" s="12" t="s">
        <v>13</v>
      </c>
      <c r="G50" s="18">
        <v>13</v>
      </c>
      <c r="H50" s="18">
        <v>1</v>
      </c>
      <c r="I50" s="19">
        <f t="shared" ref="I50:I60" si="5">G50/H50</f>
        <v>13</v>
      </c>
      <c r="J50" s="18">
        <v>1</v>
      </c>
      <c r="K50" s="12" t="s">
        <v>13</v>
      </c>
      <c r="L50" s="16">
        <v>322</v>
      </c>
      <c r="M50" s="18">
        <v>58</v>
      </c>
      <c r="N50" s="20">
        <v>46104</v>
      </c>
      <c r="O50" s="39" t="s">
        <v>47</v>
      </c>
    </row>
    <row r="51" spans="1:15" ht="24.9" customHeight="1">
      <c r="A51" s="7">
        <v>49</v>
      </c>
      <c r="B51" s="12">
        <v>32</v>
      </c>
      <c r="C51" s="8" t="s">
        <v>285</v>
      </c>
      <c r="D51" s="9">
        <v>50</v>
      </c>
      <c r="E51" s="9">
        <v>92.85</v>
      </c>
      <c r="F51" s="10">
        <f>(D51-E51)/E51</f>
        <v>-0.46149703823371024</v>
      </c>
      <c r="G51" s="11">
        <v>8</v>
      </c>
      <c r="H51" s="11">
        <v>1</v>
      </c>
      <c r="I51" s="12">
        <f t="shared" si="5"/>
        <v>8</v>
      </c>
      <c r="J51" s="11">
        <v>1</v>
      </c>
      <c r="K51" s="12" t="s">
        <v>13</v>
      </c>
      <c r="L51" s="9">
        <v>4115.99</v>
      </c>
      <c r="M51" s="11">
        <v>598</v>
      </c>
      <c r="N51" s="13">
        <v>46156</v>
      </c>
      <c r="O51" s="39" t="s">
        <v>279</v>
      </c>
    </row>
    <row r="52" spans="1:15" ht="24.9" customHeight="1">
      <c r="A52" s="14">
        <v>50</v>
      </c>
      <c r="B52" s="16" t="s">
        <v>13</v>
      </c>
      <c r="C52" s="77" t="s">
        <v>192</v>
      </c>
      <c r="D52" s="16">
        <v>45.45</v>
      </c>
      <c r="E52" s="19" t="s">
        <v>13</v>
      </c>
      <c r="F52" s="19" t="s">
        <v>13</v>
      </c>
      <c r="G52" s="18">
        <v>5</v>
      </c>
      <c r="H52" s="18">
        <v>2</v>
      </c>
      <c r="I52" s="19">
        <f t="shared" si="5"/>
        <v>2.5</v>
      </c>
      <c r="J52" s="18">
        <v>2</v>
      </c>
      <c r="K52" s="19" t="s">
        <v>13</v>
      </c>
      <c r="L52" s="16">
        <v>31824.639999999999</v>
      </c>
      <c r="M52" s="18">
        <v>4333</v>
      </c>
      <c r="N52" s="20">
        <v>46104</v>
      </c>
      <c r="O52" s="40" t="s">
        <v>47</v>
      </c>
    </row>
    <row r="53" spans="1:15" s="76" customFormat="1" ht="24.9" customHeight="1">
      <c r="A53" s="14">
        <v>51</v>
      </c>
      <c r="B53" s="16" t="s">
        <v>13</v>
      </c>
      <c r="C53" s="15" t="s">
        <v>115</v>
      </c>
      <c r="D53" s="16">
        <v>42</v>
      </c>
      <c r="E53" s="10" t="s">
        <v>13</v>
      </c>
      <c r="F53" s="10" t="s">
        <v>13</v>
      </c>
      <c r="G53" s="18">
        <v>8</v>
      </c>
      <c r="H53" s="18">
        <v>1</v>
      </c>
      <c r="I53" s="19">
        <f t="shared" si="5"/>
        <v>8</v>
      </c>
      <c r="J53" s="18">
        <v>1</v>
      </c>
      <c r="K53" s="19" t="s">
        <v>13</v>
      </c>
      <c r="L53" s="16">
        <v>9948.4800000000014</v>
      </c>
      <c r="M53" s="18">
        <v>1457</v>
      </c>
      <c r="N53" s="20">
        <v>46059</v>
      </c>
      <c r="O53" s="39" t="s">
        <v>46</v>
      </c>
    </row>
    <row r="54" spans="1:15" ht="24.9" customHeight="1">
      <c r="A54" s="7">
        <v>52</v>
      </c>
      <c r="B54" s="12">
        <v>23</v>
      </c>
      <c r="C54" s="8" t="s">
        <v>79</v>
      </c>
      <c r="D54" s="9">
        <v>38.869999999999997</v>
      </c>
      <c r="E54" s="9">
        <v>343.81</v>
      </c>
      <c r="F54" s="10">
        <f>(D54-E54)/E54</f>
        <v>-0.88694336988452926</v>
      </c>
      <c r="G54" s="11">
        <v>7</v>
      </c>
      <c r="H54" s="11">
        <v>1</v>
      </c>
      <c r="I54" s="12">
        <f t="shared" si="5"/>
        <v>7</v>
      </c>
      <c r="J54" s="11">
        <v>1</v>
      </c>
      <c r="K54" s="12">
        <v>21</v>
      </c>
      <c r="L54" s="9">
        <v>303356.84000000003</v>
      </c>
      <c r="M54" s="11">
        <v>54519</v>
      </c>
      <c r="N54" s="13">
        <v>46038</v>
      </c>
      <c r="O54" s="39" t="s">
        <v>42</v>
      </c>
    </row>
    <row r="55" spans="1:15" ht="24.9" customHeight="1">
      <c r="A55" s="14">
        <v>53</v>
      </c>
      <c r="B55" s="16" t="s">
        <v>13</v>
      </c>
      <c r="C55" s="15" t="s">
        <v>312</v>
      </c>
      <c r="D55" s="16">
        <v>31.8</v>
      </c>
      <c r="E55" s="19" t="s">
        <v>13</v>
      </c>
      <c r="F55" s="19" t="s">
        <v>13</v>
      </c>
      <c r="G55" s="18">
        <v>4</v>
      </c>
      <c r="H55" s="18">
        <v>1</v>
      </c>
      <c r="I55" s="19">
        <f t="shared" si="5"/>
        <v>4</v>
      </c>
      <c r="J55" s="18">
        <v>1</v>
      </c>
      <c r="K55" s="16" t="s">
        <v>13</v>
      </c>
      <c r="L55" s="16">
        <v>159999.9</v>
      </c>
      <c r="M55" s="18">
        <v>22203</v>
      </c>
      <c r="N55" s="20">
        <v>46045</v>
      </c>
      <c r="O55" s="39" t="s">
        <v>94</v>
      </c>
    </row>
    <row r="56" spans="1:15" ht="24.9" customHeight="1">
      <c r="A56" s="14">
        <v>54</v>
      </c>
      <c r="B56" s="16" t="s">
        <v>13</v>
      </c>
      <c r="C56" s="15" t="s">
        <v>308</v>
      </c>
      <c r="D56" s="16">
        <v>20.399999999999999</v>
      </c>
      <c r="E56" s="19" t="s">
        <v>13</v>
      </c>
      <c r="F56" s="19" t="s">
        <v>13</v>
      </c>
      <c r="G56" s="18">
        <v>4</v>
      </c>
      <c r="H56" s="18">
        <v>1</v>
      </c>
      <c r="I56" s="19">
        <f t="shared" si="5"/>
        <v>4</v>
      </c>
      <c r="J56" s="18">
        <v>1</v>
      </c>
      <c r="K56" s="19" t="s">
        <v>13</v>
      </c>
      <c r="L56" s="16">
        <v>128272.67</v>
      </c>
      <c r="M56" s="18">
        <v>23235</v>
      </c>
      <c r="N56" s="20">
        <v>45940</v>
      </c>
      <c r="O56" s="40" t="s">
        <v>42</v>
      </c>
    </row>
    <row r="57" spans="1:15" ht="24.9" customHeight="1">
      <c r="A57" s="14">
        <v>55</v>
      </c>
      <c r="B57" s="16" t="s">
        <v>13</v>
      </c>
      <c r="C57" s="77" t="s">
        <v>302</v>
      </c>
      <c r="D57" s="16">
        <v>14</v>
      </c>
      <c r="E57" s="19" t="s">
        <v>13</v>
      </c>
      <c r="F57" s="19" t="s">
        <v>13</v>
      </c>
      <c r="G57" s="18">
        <v>4</v>
      </c>
      <c r="H57" s="18">
        <v>1</v>
      </c>
      <c r="I57" s="19">
        <f t="shared" si="5"/>
        <v>4</v>
      </c>
      <c r="J57" s="18">
        <v>1</v>
      </c>
      <c r="K57" s="19" t="s">
        <v>13</v>
      </c>
      <c r="L57" s="16">
        <v>795.41</v>
      </c>
      <c r="M57" s="18">
        <v>134</v>
      </c>
      <c r="N57" s="20">
        <v>46104</v>
      </c>
      <c r="O57" s="40" t="s">
        <v>47</v>
      </c>
    </row>
    <row r="58" spans="1:15" ht="24.9" customHeight="1">
      <c r="A58" s="7">
        <v>56</v>
      </c>
      <c r="B58" s="12">
        <v>29</v>
      </c>
      <c r="C58" s="8" t="s">
        <v>193</v>
      </c>
      <c r="D58" s="9">
        <v>4.2</v>
      </c>
      <c r="E58" s="9">
        <v>143</v>
      </c>
      <c r="F58" s="10">
        <f>(D58-E58)/E58</f>
        <v>-0.97062937062937071</v>
      </c>
      <c r="G58" s="11">
        <v>1</v>
      </c>
      <c r="H58" s="11">
        <v>1</v>
      </c>
      <c r="I58" s="12">
        <f t="shared" si="5"/>
        <v>1</v>
      </c>
      <c r="J58" s="11">
        <v>1</v>
      </c>
      <c r="K58" s="12" t="s">
        <v>13</v>
      </c>
      <c r="L58" s="9">
        <v>9430.65</v>
      </c>
      <c r="M58" s="11">
        <v>1235</v>
      </c>
      <c r="N58" s="13">
        <v>46104</v>
      </c>
      <c r="O58" s="39" t="s">
        <v>47</v>
      </c>
    </row>
    <row r="59" spans="1:15" ht="24.9" customHeight="1">
      <c r="A59" s="7">
        <v>57</v>
      </c>
      <c r="B59" s="12">
        <v>35</v>
      </c>
      <c r="C59" s="8" t="s">
        <v>196</v>
      </c>
      <c r="D59" s="9">
        <v>3</v>
      </c>
      <c r="E59" s="9">
        <v>17.899999999999999</v>
      </c>
      <c r="F59" s="10">
        <f>(D59-E59)/E59</f>
        <v>-0.83240223463687146</v>
      </c>
      <c r="G59" s="11">
        <v>1</v>
      </c>
      <c r="H59" s="11">
        <v>1</v>
      </c>
      <c r="I59" s="12">
        <f t="shared" si="5"/>
        <v>1</v>
      </c>
      <c r="J59" s="11">
        <v>1</v>
      </c>
      <c r="K59" s="12" t="s">
        <v>13</v>
      </c>
      <c r="L59" s="9">
        <v>4514.1499999999996</v>
      </c>
      <c r="M59" s="11">
        <v>761</v>
      </c>
      <c r="N59" s="13">
        <v>46104</v>
      </c>
      <c r="O59" s="39" t="s">
        <v>47</v>
      </c>
    </row>
    <row r="60" spans="1:15" ht="24.9" customHeight="1">
      <c r="A60" s="14">
        <v>58</v>
      </c>
      <c r="B60" s="16" t="s">
        <v>13</v>
      </c>
      <c r="C60" s="77" t="s">
        <v>195</v>
      </c>
      <c r="D60" s="16">
        <v>0</v>
      </c>
      <c r="E60" s="19" t="s">
        <v>13</v>
      </c>
      <c r="F60" s="19" t="s">
        <v>13</v>
      </c>
      <c r="G60" s="18">
        <v>0</v>
      </c>
      <c r="H60" s="18">
        <v>1</v>
      </c>
      <c r="I60" s="19">
        <f t="shared" si="5"/>
        <v>0</v>
      </c>
      <c r="J60" s="18">
        <v>1</v>
      </c>
      <c r="K60" s="19" t="s">
        <v>13</v>
      </c>
      <c r="L60" s="16">
        <v>3802.88</v>
      </c>
      <c r="M60" s="18">
        <v>599</v>
      </c>
      <c r="N60" s="20">
        <v>46104</v>
      </c>
      <c r="O60" s="40" t="s">
        <v>47</v>
      </c>
    </row>
    <row r="61" spans="1:15" ht="24.75" customHeight="1">
      <c r="A61" s="59"/>
      <c r="B61" s="60" t="s">
        <v>14</v>
      </c>
      <c r="C61" s="61" t="s">
        <v>315</v>
      </c>
      <c r="D61" s="27">
        <f>SUBTOTAL(109,Table132456789101112131415161718192021222324[Pajamos 
(GBO)])</f>
        <v>243560.79</v>
      </c>
      <c r="E61" s="27">
        <f>SUBTOTAL(109,Table132456789101112131415161718192021222324[Pajamos 
praeita sav.
(GBO LW)])</f>
        <v>217251.20000000001</v>
      </c>
      <c r="F61" s="62">
        <f>(D61-E61)/E61</f>
        <v>0.12110216192131502</v>
      </c>
      <c r="G61" s="34">
        <f>SUBTOTAL(109,Table132456789101112131415161718192021222324[Žiūrovų sk. 
(ADM)])</f>
        <v>32195</v>
      </c>
      <c r="H61" s="63"/>
      <c r="I61" s="59"/>
      <c r="J61" s="63"/>
      <c r="K61" s="64"/>
      <c r="L61" s="65"/>
      <c r="M61" s="63"/>
      <c r="N61" s="66"/>
      <c r="O61" s="67"/>
    </row>
    <row r="62" spans="1:15"/>
    <row r="63" spans="1:15"/>
    <row r="64" spans="1:15" ht="9" customHeight="1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</sheetData>
  <mergeCells count="1">
    <mergeCell ref="A1:O1"/>
  </mergeCells>
  <conditionalFormatting sqref="C46">
    <cfRule type="duplicateValues" dxfId="3" priority="4"/>
  </conditionalFormatting>
  <conditionalFormatting sqref="C47:C50">
    <cfRule type="duplicateValues" dxfId="2" priority="2"/>
  </conditionalFormatting>
  <conditionalFormatting sqref="C51">
    <cfRule type="duplicateValues" dxfId="1" priority="1"/>
  </conditionalFormatting>
  <conditionalFormatting sqref="C52:C60">
    <cfRule type="duplicateValues" dxfId="0" priority="9"/>
  </conditionalFormatting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41F3-5C85-4EC6-AA4A-7DB6B5377EEA}">
  <dimension ref="A1:XFC326"/>
  <sheetViews>
    <sheetView topLeftCell="A15" zoomScale="70" zoomScaleNormal="70" workbookViewId="0">
      <selection activeCell="O17" sqref="O17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374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14">
        <v>1</v>
      </c>
      <c r="B3" s="19" t="s">
        <v>49</v>
      </c>
      <c r="C3" s="15" t="s">
        <v>294</v>
      </c>
      <c r="D3" s="16">
        <v>83547.929999999993</v>
      </c>
      <c r="E3" s="16" t="s">
        <v>13</v>
      </c>
      <c r="F3" s="10" t="s">
        <v>13</v>
      </c>
      <c r="G3" s="18">
        <v>10167</v>
      </c>
      <c r="H3" s="18">
        <v>135</v>
      </c>
      <c r="I3" s="19">
        <f>G3/H3</f>
        <v>75.311111111111117</v>
      </c>
      <c r="J3" s="18">
        <v>15</v>
      </c>
      <c r="K3" s="19">
        <v>1</v>
      </c>
      <c r="L3" s="16">
        <v>93071.299999999988</v>
      </c>
      <c r="M3" s="18">
        <v>11520</v>
      </c>
      <c r="N3" s="20">
        <v>46171</v>
      </c>
      <c r="O3" s="40" t="s">
        <v>46</v>
      </c>
    </row>
    <row r="4" spans="1:15" s="2" customFormat="1" ht="24.9" customHeight="1">
      <c r="A4" s="7">
        <v>2</v>
      </c>
      <c r="B4" s="12">
        <v>1</v>
      </c>
      <c r="C4" s="8" t="s">
        <v>263</v>
      </c>
      <c r="D4" s="9">
        <v>26332.84</v>
      </c>
      <c r="E4" s="9">
        <v>36589.25</v>
      </c>
      <c r="F4" s="10">
        <f>(D4-E4)/E4</f>
        <v>-0.28031211353061347</v>
      </c>
      <c r="G4" s="11">
        <v>3200</v>
      </c>
      <c r="H4" s="11">
        <v>131</v>
      </c>
      <c r="I4" s="12">
        <f>G4/H4</f>
        <v>24.427480916030536</v>
      </c>
      <c r="J4" s="11">
        <v>18</v>
      </c>
      <c r="K4" s="12">
        <v>5</v>
      </c>
      <c r="L4" s="9">
        <v>844778.28</v>
      </c>
      <c r="M4" s="11">
        <v>99490</v>
      </c>
      <c r="N4" s="13">
        <v>46143</v>
      </c>
      <c r="O4" s="39" t="s">
        <v>37</v>
      </c>
    </row>
    <row r="5" spans="1:15" s="2" customFormat="1" ht="24.9" customHeight="1">
      <c r="A5" s="7">
        <v>3</v>
      </c>
      <c r="B5" s="12">
        <v>3</v>
      </c>
      <c r="C5" s="8" t="s">
        <v>251</v>
      </c>
      <c r="D5" s="9">
        <v>23208.080000000002</v>
      </c>
      <c r="E5" s="9">
        <v>25797.17</v>
      </c>
      <c r="F5" s="10">
        <f>(D5-E5)/E5</f>
        <v>-0.1003633344277685</v>
      </c>
      <c r="G5" s="11">
        <v>3153</v>
      </c>
      <c r="H5" s="11">
        <v>87</v>
      </c>
      <c r="I5" s="12">
        <f>G5/H5</f>
        <v>36.241379310344826</v>
      </c>
      <c r="J5" s="11">
        <v>16</v>
      </c>
      <c r="K5" s="12">
        <v>6</v>
      </c>
      <c r="L5" s="9">
        <v>518355.1</v>
      </c>
      <c r="M5" s="11">
        <v>66240</v>
      </c>
      <c r="N5" s="13">
        <v>46136</v>
      </c>
      <c r="O5" s="39" t="s">
        <v>207</v>
      </c>
    </row>
    <row r="6" spans="1:15" s="2" customFormat="1" ht="24.9" customHeight="1">
      <c r="A6" s="7">
        <v>4</v>
      </c>
      <c r="B6" s="12">
        <v>2</v>
      </c>
      <c r="C6" s="8" t="s">
        <v>292</v>
      </c>
      <c r="D6" s="9">
        <v>21904.65</v>
      </c>
      <c r="E6" s="9">
        <v>28663.72</v>
      </c>
      <c r="F6" s="10">
        <f>(D6-E6)/E6</f>
        <v>-0.23580575026549239</v>
      </c>
      <c r="G6" s="11">
        <v>2440</v>
      </c>
      <c r="H6" s="11">
        <v>111</v>
      </c>
      <c r="I6" s="12">
        <v>21.985507246376812</v>
      </c>
      <c r="J6" s="11">
        <v>26</v>
      </c>
      <c r="K6" s="12">
        <v>2</v>
      </c>
      <c r="L6" s="9">
        <v>72062.09</v>
      </c>
      <c r="M6" s="11">
        <v>7951</v>
      </c>
      <c r="N6" s="13">
        <v>46164</v>
      </c>
      <c r="O6" s="39" t="s">
        <v>37</v>
      </c>
    </row>
    <row r="7" spans="1:15" s="2" customFormat="1" ht="24.9" customHeight="1">
      <c r="A7" s="7">
        <v>5</v>
      </c>
      <c r="B7" s="12" t="s">
        <v>49</v>
      </c>
      <c r="C7" s="8" t="s">
        <v>290</v>
      </c>
      <c r="D7" s="9">
        <v>14010.67</v>
      </c>
      <c r="E7" s="9">
        <v>1034.47</v>
      </c>
      <c r="F7" s="10">
        <f>(D7-E7)/E7</f>
        <v>12.543814707048053</v>
      </c>
      <c r="G7" s="11">
        <v>2479</v>
      </c>
      <c r="H7" s="11">
        <v>95</v>
      </c>
      <c r="I7" s="12">
        <f t="shared" ref="I7:I13" si="0">G7/H7</f>
        <v>26.094736842105263</v>
      </c>
      <c r="J7" s="11">
        <v>1</v>
      </c>
      <c r="K7" s="12">
        <v>1</v>
      </c>
      <c r="L7" s="9">
        <v>15045.14</v>
      </c>
      <c r="M7" s="11">
        <v>2649</v>
      </c>
      <c r="N7" s="13">
        <v>46171</v>
      </c>
      <c r="O7" s="39" t="s">
        <v>42</v>
      </c>
    </row>
    <row r="8" spans="1:15" s="2" customFormat="1" ht="24.9" customHeight="1">
      <c r="A8" s="7">
        <v>6</v>
      </c>
      <c r="B8" s="12">
        <v>6</v>
      </c>
      <c r="C8" s="8" t="s">
        <v>262</v>
      </c>
      <c r="D8" s="9">
        <v>9695.64</v>
      </c>
      <c r="E8" s="9">
        <v>8962.75</v>
      </c>
      <c r="F8" s="10">
        <f>(D8-E8)/E8</f>
        <v>8.1770661906222911E-2</v>
      </c>
      <c r="G8" s="11">
        <v>1620</v>
      </c>
      <c r="H8" s="11">
        <v>64</v>
      </c>
      <c r="I8" s="12">
        <f t="shared" si="0"/>
        <v>25.3125</v>
      </c>
      <c r="J8" s="11">
        <v>7</v>
      </c>
      <c r="K8" s="12">
        <v>4</v>
      </c>
      <c r="L8" s="9">
        <v>84987.63</v>
      </c>
      <c r="M8" s="11">
        <v>14165</v>
      </c>
      <c r="N8" s="13">
        <v>46150</v>
      </c>
      <c r="O8" s="39" t="s">
        <v>39</v>
      </c>
    </row>
    <row r="9" spans="1:15" s="2" customFormat="1" ht="24.9" customHeight="1">
      <c r="A9" s="14">
        <v>7</v>
      </c>
      <c r="B9" s="19" t="s">
        <v>49</v>
      </c>
      <c r="C9" s="15" t="s">
        <v>296</v>
      </c>
      <c r="D9" s="16">
        <v>9644.5400000000009</v>
      </c>
      <c r="E9" s="16" t="s">
        <v>13</v>
      </c>
      <c r="F9" s="10" t="s">
        <v>13</v>
      </c>
      <c r="G9" s="18">
        <v>1290</v>
      </c>
      <c r="H9" s="18">
        <v>67</v>
      </c>
      <c r="I9" s="19">
        <f t="shared" si="0"/>
        <v>19.253731343283583</v>
      </c>
      <c r="J9" s="18">
        <v>5</v>
      </c>
      <c r="K9" s="19">
        <v>1</v>
      </c>
      <c r="L9" s="16">
        <v>9644.5400000000009</v>
      </c>
      <c r="M9" s="18">
        <v>1290</v>
      </c>
      <c r="N9" s="20">
        <v>46171</v>
      </c>
      <c r="O9" s="40" t="s">
        <v>42</v>
      </c>
    </row>
    <row r="10" spans="1:15" s="2" customFormat="1" ht="24.9" customHeight="1">
      <c r="A10" s="7">
        <v>8</v>
      </c>
      <c r="B10" s="12">
        <v>5</v>
      </c>
      <c r="C10" s="8" t="s">
        <v>216</v>
      </c>
      <c r="D10" s="9">
        <v>8538.08</v>
      </c>
      <c r="E10" s="9">
        <v>9275.42</v>
      </c>
      <c r="F10" s="10">
        <f t="shared" ref="F10:F18" si="1">(D10-E10)/E10</f>
        <v>-7.9493974396846731E-2</v>
      </c>
      <c r="G10" s="11">
        <v>1358</v>
      </c>
      <c r="H10" s="11">
        <v>64</v>
      </c>
      <c r="I10" s="12">
        <f t="shared" si="0"/>
        <v>21.21875</v>
      </c>
      <c r="J10" s="11">
        <v>17</v>
      </c>
      <c r="K10" s="12">
        <v>10</v>
      </c>
      <c r="L10" s="9">
        <v>496750.33</v>
      </c>
      <c r="M10" s="11">
        <v>79493</v>
      </c>
      <c r="N10" s="13">
        <v>46113</v>
      </c>
      <c r="O10" s="39" t="s">
        <v>207</v>
      </c>
    </row>
    <row r="11" spans="1:15" s="2" customFormat="1" ht="24.9" customHeight="1">
      <c r="A11" s="7">
        <v>9</v>
      </c>
      <c r="B11" s="12">
        <v>4</v>
      </c>
      <c r="C11" s="8" t="s">
        <v>291</v>
      </c>
      <c r="D11" s="9">
        <v>4427.87</v>
      </c>
      <c r="E11" s="9">
        <v>10850.11</v>
      </c>
      <c r="F11" s="10">
        <f t="shared" si="1"/>
        <v>-0.59190551985187245</v>
      </c>
      <c r="G11" s="11">
        <v>253</v>
      </c>
      <c r="H11" s="11">
        <v>41</v>
      </c>
      <c r="I11" s="12">
        <f t="shared" si="0"/>
        <v>6.1707317073170733</v>
      </c>
      <c r="J11" s="11">
        <v>9</v>
      </c>
      <c r="K11" s="12">
        <v>2</v>
      </c>
      <c r="L11" s="9">
        <v>22084.59</v>
      </c>
      <c r="M11" s="11">
        <v>2917</v>
      </c>
      <c r="N11" s="13">
        <v>46164</v>
      </c>
      <c r="O11" s="39" t="s">
        <v>279</v>
      </c>
    </row>
    <row r="12" spans="1:15" s="2" customFormat="1" ht="24.9" customHeight="1">
      <c r="A12" s="7">
        <v>10</v>
      </c>
      <c r="B12" s="12">
        <v>8</v>
      </c>
      <c r="C12" s="8" t="s">
        <v>184</v>
      </c>
      <c r="D12" s="9">
        <v>3867.65</v>
      </c>
      <c r="E12" s="9">
        <v>3422.78</v>
      </c>
      <c r="F12" s="10">
        <f t="shared" si="1"/>
        <v>0.12997329656010606</v>
      </c>
      <c r="G12" s="11">
        <v>492</v>
      </c>
      <c r="H12" s="11">
        <v>19</v>
      </c>
      <c r="I12" s="12">
        <f t="shared" si="0"/>
        <v>25.894736842105264</v>
      </c>
      <c r="J12" s="11">
        <v>2</v>
      </c>
      <c r="K12" s="12">
        <v>11</v>
      </c>
      <c r="L12" s="9">
        <v>691769.32</v>
      </c>
      <c r="M12" s="11">
        <v>78262</v>
      </c>
      <c r="N12" s="13">
        <v>46101</v>
      </c>
      <c r="O12" s="39" t="s">
        <v>39</v>
      </c>
    </row>
    <row r="13" spans="1:15" s="2" customFormat="1" ht="24.9" customHeight="1">
      <c r="A13" s="7">
        <v>11</v>
      </c>
      <c r="B13" s="12">
        <v>7</v>
      </c>
      <c r="C13" s="8" t="s">
        <v>283</v>
      </c>
      <c r="D13" s="9">
        <v>3859.3</v>
      </c>
      <c r="E13" s="9">
        <v>5972.72</v>
      </c>
      <c r="F13" s="10">
        <f t="shared" si="1"/>
        <v>-0.35384548413453165</v>
      </c>
      <c r="G13" s="11">
        <v>465</v>
      </c>
      <c r="H13" s="11">
        <v>23</v>
      </c>
      <c r="I13" s="12">
        <f t="shared" si="0"/>
        <v>20.217391304347824</v>
      </c>
      <c r="J13" s="11">
        <v>1</v>
      </c>
      <c r="K13" s="12">
        <v>3</v>
      </c>
      <c r="L13" s="9">
        <v>35078.67</v>
      </c>
      <c r="M13" s="11">
        <v>5034</v>
      </c>
      <c r="N13" s="13">
        <v>46157</v>
      </c>
      <c r="O13" s="39" t="s">
        <v>42</v>
      </c>
    </row>
    <row r="14" spans="1:15" s="2" customFormat="1" ht="24.9" customHeight="1">
      <c r="A14" s="7">
        <v>12</v>
      </c>
      <c r="B14" s="12">
        <v>12</v>
      </c>
      <c r="C14" s="8" t="s">
        <v>248</v>
      </c>
      <c r="D14" s="9">
        <v>1563</v>
      </c>
      <c r="E14" s="9">
        <v>1962</v>
      </c>
      <c r="F14" s="10">
        <f t="shared" si="1"/>
        <v>-0.20336391437308868</v>
      </c>
      <c r="G14" s="11">
        <v>248</v>
      </c>
      <c r="H14" s="12" t="s">
        <v>13</v>
      </c>
      <c r="I14" s="12" t="s">
        <v>13</v>
      </c>
      <c r="J14" s="11">
        <v>6</v>
      </c>
      <c r="K14" s="12">
        <v>6</v>
      </c>
      <c r="L14" s="9">
        <v>71728</v>
      </c>
      <c r="M14" s="11">
        <v>12836</v>
      </c>
      <c r="N14" s="13">
        <v>46136</v>
      </c>
      <c r="O14" s="39" t="s">
        <v>44</v>
      </c>
    </row>
    <row r="15" spans="1:15" s="2" customFormat="1" ht="24.6" customHeight="1">
      <c r="A15" s="7">
        <v>13</v>
      </c>
      <c r="B15" s="12">
        <v>10</v>
      </c>
      <c r="C15" s="8" t="s">
        <v>261</v>
      </c>
      <c r="D15" s="9">
        <v>1282.19</v>
      </c>
      <c r="E15" s="9">
        <v>2398.52</v>
      </c>
      <c r="F15" s="10">
        <f t="shared" si="1"/>
        <v>-0.46542451178226568</v>
      </c>
      <c r="G15" s="11">
        <v>166</v>
      </c>
      <c r="H15" s="11">
        <v>7</v>
      </c>
      <c r="I15" s="12">
        <f t="shared" ref="I15:I27" si="2">G15/H15</f>
        <v>23.714285714285715</v>
      </c>
      <c r="J15" s="11">
        <v>2</v>
      </c>
      <c r="K15" s="12">
        <v>5</v>
      </c>
      <c r="L15" s="9">
        <v>51163.97</v>
      </c>
      <c r="M15" s="11">
        <v>6992</v>
      </c>
      <c r="N15" s="13">
        <v>46143</v>
      </c>
      <c r="O15" s="39" t="s">
        <v>42</v>
      </c>
    </row>
    <row r="16" spans="1:15" s="2" customFormat="1" ht="24.9" customHeight="1">
      <c r="A16" s="7">
        <v>14</v>
      </c>
      <c r="B16" s="12">
        <v>14</v>
      </c>
      <c r="C16" s="8" t="s">
        <v>170</v>
      </c>
      <c r="D16" s="9">
        <v>1210.68</v>
      </c>
      <c r="E16" s="9">
        <v>1378.01</v>
      </c>
      <c r="F16" s="10">
        <f t="shared" si="1"/>
        <v>-0.12142872693231539</v>
      </c>
      <c r="G16" s="11">
        <v>226</v>
      </c>
      <c r="H16" s="11">
        <v>11</v>
      </c>
      <c r="I16" s="12">
        <f t="shared" si="2"/>
        <v>20.545454545454547</v>
      </c>
      <c r="J16" s="11">
        <v>4</v>
      </c>
      <c r="K16" s="12">
        <v>13</v>
      </c>
      <c r="L16" s="9">
        <v>389286.34</v>
      </c>
      <c r="M16" s="11">
        <v>64800</v>
      </c>
      <c r="N16" s="13">
        <v>46087</v>
      </c>
      <c r="O16" s="39" t="s">
        <v>37</v>
      </c>
    </row>
    <row r="17" spans="1:15" s="2" customFormat="1" ht="24.9" customHeight="1">
      <c r="A17" s="7">
        <v>15</v>
      </c>
      <c r="B17" s="12">
        <v>17</v>
      </c>
      <c r="C17" s="8" t="s">
        <v>235</v>
      </c>
      <c r="D17" s="9">
        <v>853.9</v>
      </c>
      <c r="E17" s="9">
        <v>674.55</v>
      </c>
      <c r="F17" s="10">
        <f t="shared" si="1"/>
        <v>0.26588095767548742</v>
      </c>
      <c r="G17" s="11">
        <v>123</v>
      </c>
      <c r="H17" s="11">
        <v>8</v>
      </c>
      <c r="I17" s="12">
        <f t="shared" si="2"/>
        <v>15.375</v>
      </c>
      <c r="J17" s="11">
        <v>3</v>
      </c>
      <c r="K17" s="12">
        <v>8</v>
      </c>
      <c r="L17" s="9">
        <v>195633.12</v>
      </c>
      <c r="M17" s="11">
        <v>27071</v>
      </c>
      <c r="N17" s="13">
        <v>46122</v>
      </c>
      <c r="O17" s="39" t="s">
        <v>47</v>
      </c>
    </row>
    <row r="18" spans="1:15" s="1" customFormat="1" ht="24.6" customHeight="1">
      <c r="A18" s="7">
        <v>16</v>
      </c>
      <c r="B18" s="12">
        <v>20</v>
      </c>
      <c r="C18" s="8" t="s">
        <v>205</v>
      </c>
      <c r="D18" s="9">
        <v>678</v>
      </c>
      <c r="E18" s="9">
        <v>300</v>
      </c>
      <c r="F18" s="10">
        <f t="shared" si="1"/>
        <v>1.26</v>
      </c>
      <c r="G18" s="11">
        <v>153</v>
      </c>
      <c r="H18" s="11">
        <v>1</v>
      </c>
      <c r="I18" s="12">
        <f t="shared" si="2"/>
        <v>153</v>
      </c>
      <c r="J18" s="11">
        <v>1</v>
      </c>
      <c r="K18" s="12" t="s">
        <v>13</v>
      </c>
      <c r="L18" s="9">
        <v>30162.05</v>
      </c>
      <c r="M18" s="11">
        <v>5715</v>
      </c>
      <c r="N18" s="13">
        <v>46108</v>
      </c>
      <c r="O18" s="39" t="s">
        <v>94</v>
      </c>
    </row>
    <row r="19" spans="1:15" ht="24.9" customHeight="1">
      <c r="A19" s="14">
        <v>17</v>
      </c>
      <c r="B19" s="19" t="s">
        <v>13</v>
      </c>
      <c r="C19" s="15" t="s">
        <v>164</v>
      </c>
      <c r="D19" s="16">
        <v>630</v>
      </c>
      <c r="E19" s="16" t="s">
        <v>13</v>
      </c>
      <c r="F19" s="10" t="s">
        <v>13</v>
      </c>
      <c r="G19" s="18">
        <v>120</v>
      </c>
      <c r="H19" s="18">
        <v>3</v>
      </c>
      <c r="I19" s="19">
        <f t="shared" si="2"/>
        <v>40</v>
      </c>
      <c r="J19" s="18">
        <v>1</v>
      </c>
      <c r="K19" s="19" t="s">
        <v>13</v>
      </c>
      <c r="L19" s="16">
        <v>33926.51</v>
      </c>
      <c r="M19" s="18">
        <v>5927</v>
      </c>
      <c r="N19" s="20">
        <v>46080</v>
      </c>
      <c r="O19" s="40" t="s">
        <v>94</v>
      </c>
    </row>
    <row r="20" spans="1:15" s="1" customFormat="1" ht="24.9" customHeight="1">
      <c r="A20" s="7">
        <v>18</v>
      </c>
      <c r="B20" s="12">
        <v>16</v>
      </c>
      <c r="C20" s="8" t="s">
        <v>273</v>
      </c>
      <c r="D20" s="9">
        <v>614.20000000000005</v>
      </c>
      <c r="E20" s="9">
        <v>679.53</v>
      </c>
      <c r="F20" s="10">
        <f>(D20-E20)/E20</f>
        <v>-9.6139979103203585E-2</v>
      </c>
      <c r="G20" s="11">
        <v>102</v>
      </c>
      <c r="H20" s="11">
        <v>3</v>
      </c>
      <c r="I20" s="12">
        <f t="shared" si="2"/>
        <v>34</v>
      </c>
      <c r="J20" s="11">
        <v>3</v>
      </c>
      <c r="K20" s="12" t="s">
        <v>13</v>
      </c>
      <c r="L20" s="9">
        <v>4168.8500000000004</v>
      </c>
      <c r="M20" s="11">
        <v>728</v>
      </c>
      <c r="N20" s="13">
        <v>46143</v>
      </c>
      <c r="O20" s="39" t="s">
        <v>51</v>
      </c>
    </row>
    <row r="21" spans="1:15" s="1" customFormat="1" ht="24.9" customHeight="1">
      <c r="A21" s="7">
        <v>19</v>
      </c>
      <c r="B21" s="12">
        <v>9</v>
      </c>
      <c r="C21" s="8" t="s">
        <v>267</v>
      </c>
      <c r="D21" s="9">
        <v>608.46</v>
      </c>
      <c r="E21" s="9">
        <v>2800.49</v>
      </c>
      <c r="F21" s="10">
        <f>(D21-E21)/E21</f>
        <v>-0.78273087923899032</v>
      </c>
      <c r="G21" s="11">
        <v>74</v>
      </c>
      <c r="H21" s="11">
        <v>7</v>
      </c>
      <c r="I21" s="12">
        <f t="shared" si="2"/>
        <v>10.571428571428571</v>
      </c>
      <c r="J21" s="11">
        <v>1</v>
      </c>
      <c r="K21" s="12">
        <v>4</v>
      </c>
      <c r="L21" s="9">
        <v>56248.04</v>
      </c>
      <c r="M21" s="11">
        <v>7609</v>
      </c>
      <c r="N21" s="13">
        <v>46150</v>
      </c>
      <c r="O21" s="39" t="s">
        <v>55</v>
      </c>
    </row>
    <row r="22" spans="1:15" s="1" customFormat="1" ht="24.9" customHeight="1">
      <c r="A22" s="14">
        <v>20</v>
      </c>
      <c r="B22" s="19" t="s">
        <v>13</v>
      </c>
      <c r="C22" s="15" t="s">
        <v>91</v>
      </c>
      <c r="D22" s="16">
        <v>479.28</v>
      </c>
      <c r="E22" s="16" t="s">
        <v>13</v>
      </c>
      <c r="F22" s="10" t="s">
        <v>13</v>
      </c>
      <c r="G22" s="18">
        <v>148</v>
      </c>
      <c r="H22" s="18">
        <v>2</v>
      </c>
      <c r="I22" s="19">
        <f t="shared" si="2"/>
        <v>74</v>
      </c>
      <c r="J22" s="18">
        <v>1</v>
      </c>
      <c r="K22" s="19" t="s">
        <v>13</v>
      </c>
      <c r="L22" s="16">
        <v>90233.31</v>
      </c>
      <c r="M22" s="18">
        <v>18762</v>
      </c>
      <c r="N22" s="20">
        <v>44855</v>
      </c>
      <c r="O22" s="40" t="s">
        <v>42</v>
      </c>
    </row>
    <row r="23" spans="1:15" s="1" customFormat="1" ht="24.9" customHeight="1">
      <c r="A23" s="7">
        <v>21</v>
      </c>
      <c r="B23" s="12">
        <v>21</v>
      </c>
      <c r="C23" s="8" t="s">
        <v>243</v>
      </c>
      <c r="D23" s="9">
        <v>436.33999999999992</v>
      </c>
      <c r="E23" s="9">
        <v>252.5</v>
      </c>
      <c r="F23" s="10">
        <v>0.73100381194409125</v>
      </c>
      <c r="G23" s="11">
        <v>67</v>
      </c>
      <c r="H23" s="11">
        <v>4</v>
      </c>
      <c r="I23" s="12">
        <f t="shared" si="2"/>
        <v>16.75</v>
      </c>
      <c r="J23" s="11">
        <v>3</v>
      </c>
      <c r="K23" s="12">
        <v>7</v>
      </c>
      <c r="L23" s="9">
        <v>4326.7999999999993</v>
      </c>
      <c r="M23" s="11">
        <v>731</v>
      </c>
      <c r="N23" s="13">
        <v>46129</v>
      </c>
      <c r="O23" s="39" t="s">
        <v>43</v>
      </c>
    </row>
    <row r="24" spans="1:15" s="1" customFormat="1" ht="24.9" customHeight="1">
      <c r="A24" s="7">
        <v>22</v>
      </c>
      <c r="B24" s="12">
        <v>28</v>
      </c>
      <c r="C24" s="8" t="s">
        <v>230</v>
      </c>
      <c r="D24" s="9">
        <v>434</v>
      </c>
      <c r="E24" s="9">
        <v>115.53999999999999</v>
      </c>
      <c r="F24" s="10">
        <f>(D24-E24)/E24</f>
        <v>2.7562748831573485</v>
      </c>
      <c r="G24" s="11">
        <v>64</v>
      </c>
      <c r="H24" s="11">
        <v>3</v>
      </c>
      <c r="I24" s="12">
        <f t="shared" si="2"/>
        <v>21.333333333333332</v>
      </c>
      <c r="J24" s="11">
        <v>2</v>
      </c>
      <c r="K24" s="12" t="s">
        <v>13</v>
      </c>
      <c r="L24" s="9">
        <v>15156.94</v>
      </c>
      <c r="M24" s="11">
        <v>2561</v>
      </c>
      <c r="N24" s="13">
        <v>46122</v>
      </c>
      <c r="O24" s="39" t="s">
        <v>51</v>
      </c>
    </row>
    <row r="25" spans="1:15" s="1" customFormat="1" ht="24.6" customHeight="1">
      <c r="A25" s="7">
        <v>23</v>
      </c>
      <c r="B25" s="12">
        <v>33</v>
      </c>
      <c r="C25" s="8" t="s">
        <v>79</v>
      </c>
      <c r="D25" s="9">
        <v>343.81</v>
      </c>
      <c r="E25" s="9">
        <v>68</v>
      </c>
      <c r="F25" s="10">
        <f>(D25-E25)/E25</f>
        <v>4.0560294117647056</v>
      </c>
      <c r="G25" s="11">
        <v>95</v>
      </c>
      <c r="H25" s="11">
        <v>1</v>
      </c>
      <c r="I25" s="12">
        <f t="shared" si="2"/>
        <v>95</v>
      </c>
      <c r="J25" s="11">
        <v>1</v>
      </c>
      <c r="K25" s="12">
        <v>20</v>
      </c>
      <c r="L25" s="9">
        <v>302702.8</v>
      </c>
      <c r="M25" s="11">
        <v>54363</v>
      </c>
      <c r="N25" s="13">
        <v>46038</v>
      </c>
      <c r="O25" s="39" t="s">
        <v>42</v>
      </c>
    </row>
    <row r="26" spans="1:15" s="1" customFormat="1" ht="24.9" customHeight="1">
      <c r="A26" s="7">
        <v>24</v>
      </c>
      <c r="B26" s="19">
        <v>31</v>
      </c>
      <c r="C26" s="15" t="s">
        <v>269</v>
      </c>
      <c r="D26" s="16">
        <v>284.40000000000009</v>
      </c>
      <c r="E26" s="16">
        <v>85.199999999999989</v>
      </c>
      <c r="F26" s="17">
        <f>(D26-E26)/E26</f>
        <v>2.3380281690140858</v>
      </c>
      <c r="G26" s="18">
        <v>30</v>
      </c>
      <c r="H26" s="18">
        <v>3</v>
      </c>
      <c r="I26" s="19">
        <f t="shared" si="2"/>
        <v>10</v>
      </c>
      <c r="J26" s="18">
        <v>3</v>
      </c>
      <c r="K26" s="19">
        <v>4</v>
      </c>
      <c r="L26" s="16">
        <v>8217.6000000000022</v>
      </c>
      <c r="M26" s="18">
        <v>1102</v>
      </c>
      <c r="N26" s="20">
        <v>46150</v>
      </c>
      <c r="O26" s="40" t="s">
        <v>43</v>
      </c>
    </row>
    <row r="27" spans="1:15" s="1" customFormat="1" ht="24.9" customHeight="1">
      <c r="A27" s="7">
        <v>25</v>
      </c>
      <c r="B27" s="12">
        <v>18</v>
      </c>
      <c r="C27" s="8" t="s">
        <v>257</v>
      </c>
      <c r="D27" s="9">
        <v>276.98</v>
      </c>
      <c r="E27" s="9">
        <v>450.17</v>
      </c>
      <c r="F27" s="10">
        <f>(D27-E27)/E27</f>
        <v>-0.38472132749850052</v>
      </c>
      <c r="G27" s="11">
        <v>66</v>
      </c>
      <c r="H27" s="11">
        <v>4</v>
      </c>
      <c r="I27" s="12">
        <f t="shared" si="2"/>
        <v>16.5</v>
      </c>
      <c r="J27" s="11">
        <v>3</v>
      </c>
      <c r="K27" s="12">
        <v>5</v>
      </c>
      <c r="L27" s="9">
        <v>17228.829999999998</v>
      </c>
      <c r="M27" s="11">
        <v>3269</v>
      </c>
      <c r="N27" s="13">
        <v>46143</v>
      </c>
      <c r="O27" s="39" t="s">
        <v>46</v>
      </c>
    </row>
    <row r="28" spans="1:15" ht="24.9" customHeight="1">
      <c r="A28" s="7">
        <v>26</v>
      </c>
      <c r="B28" s="12">
        <v>11</v>
      </c>
      <c r="C28" s="8" t="s">
        <v>284</v>
      </c>
      <c r="D28" s="9">
        <v>262</v>
      </c>
      <c r="E28" s="9">
        <v>2031</v>
      </c>
      <c r="F28" s="10">
        <f>(D28-E28)/E28</f>
        <v>-0.87099950763170852</v>
      </c>
      <c r="G28" s="11">
        <v>41</v>
      </c>
      <c r="H28" s="12" t="s">
        <v>13</v>
      </c>
      <c r="I28" s="12" t="s">
        <v>13</v>
      </c>
      <c r="J28" s="11">
        <v>3</v>
      </c>
      <c r="K28" s="12">
        <v>3</v>
      </c>
      <c r="L28" s="9">
        <v>11836</v>
      </c>
      <c r="M28" s="11">
        <v>2310</v>
      </c>
      <c r="N28" s="13">
        <v>46157</v>
      </c>
      <c r="O28" s="39" t="s">
        <v>44</v>
      </c>
    </row>
    <row r="29" spans="1:15" s="1" customFormat="1" ht="24.9" customHeight="1">
      <c r="A29" s="14">
        <v>27</v>
      </c>
      <c r="B29" s="19" t="s">
        <v>13</v>
      </c>
      <c r="C29" s="15" t="s">
        <v>295</v>
      </c>
      <c r="D29" s="16">
        <v>220</v>
      </c>
      <c r="E29" s="16" t="s">
        <v>13</v>
      </c>
      <c r="F29" s="10" t="s">
        <v>13</v>
      </c>
      <c r="G29" s="18">
        <v>60</v>
      </c>
      <c r="H29" s="18">
        <v>1</v>
      </c>
      <c r="I29" s="19">
        <f t="shared" ref="I29:I40" si="3">G29/H29</f>
        <v>60</v>
      </c>
      <c r="J29" s="18">
        <v>1</v>
      </c>
      <c r="K29" s="19" t="s">
        <v>13</v>
      </c>
      <c r="L29" s="16">
        <v>54495.029999999992</v>
      </c>
      <c r="M29" s="18">
        <v>11681</v>
      </c>
      <c r="N29" s="20">
        <v>45541</v>
      </c>
      <c r="O29" s="40" t="s">
        <v>46</v>
      </c>
    </row>
    <row r="30" spans="1:15" s="1" customFormat="1" ht="24.9" customHeight="1">
      <c r="A30" s="14">
        <v>28</v>
      </c>
      <c r="B30" s="19" t="s">
        <v>13</v>
      </c>
      <c r="C30" s="15" t="s">
        <v>297</v>
      </c>
      <c r="D30" s="16">
        <v>185</v>
      </c>
      <c r="E30" s="16" t="s">
        <v>13</v>
      </c>
      <c r="F30" s="10" t="s">
        <v>13</v>
      </c>
      <c r="G30" s="18">
        <v>37</v>
      </c>
      <c r="H30" s="18">
        <v>1</v>
      </c>
      <c r="I30" s="19">
        <f t="shared" si="3"/>
        <v>37</v>
      </c>
      <c r="J30" s="18">
        <v>1</v>
      </c>
      <c r="K30" s="19" t="s">
        <v>13</v>
      </c>
      <c r="L30" s="16">
        <v>853.6</v>
      </c>
      <c r="M30" s="18">
        <v>157</v>
      </c>
      <c r="N30" s="20">
        <v>46104</v>
      </c>
      <c r="O30" s="40" t="s">
        <v>47</v>
      </c>
    </row>
    <row r="31" spans="1:15" s="1" customFormat="1" ht="24.9" customHeight="1">
      <c r="A31" s="7">
        <v>29</v>
      </c>
      <c r="B31" s="12">
        <v>40</v>
      </c>
      <c r="C31" s="8" t="s">
        <v>193</v>
      </c>
      <c r="D31" s="9">
        <v>143</v>
      </c>
      <c r="E31" s="9">
        <v>8.9499999999999993</v>
      </c>
      <c r="F31" s="10">
        <f>(D31-E31)/E31</f>
        <v>14.977653631284918</v>
      </c>
      <c r="G31" s="11">
        <v>25</v>
      </c>
      <c r="H31" s="11">
        <v>1</v>
      </c>
      <c r="I31" s="12">
        <f t="shared" si="3"/>
        <v>25</v>
      </c>
      <c r="J31" s="11">
        <v>1</v>
      </c>
      <c r="K31" s="12" t="s">
        <v>13</v>
      </c>
      <c r="L31" s="9">
        <v>9426.4500000000007</v>
      </c>
      <c r="M31" s="11">
        <v>1234</v>
      </c>
      <c r="N31" s="13">
        <v>46104</v>
      </c>
      <c r="O31" s="39" t="s">
        <v>47</v>
      </c>
    </row>
    <row r="32" spans="1:15" ht="24.9" customHeight="1">
      <c r="A32" s="7">
        <v>30</v>
      </c>
      <c r="B32" s="12">
        <v>32</v>
      </c>
      <c r="C32" s="8" t="s">
        <v>213</v>
      </c>
      <c r="D32" s="9">
        <v>139.5</v>
      </c>
      <c r="E32" s="9">
        <v>69</v>
      </c>
      <c r="F32" s="10">
        <f>(D32-E32)/E32</f>
        <v>1.0217391304347827</v>
      </c>
      <c r="G32" s="11">
        <v>24</v>
      </c>
      <c r="H32" s="11">
        <v>1</v>
      </c>
      <c r="I32" s="12">
        <f t="shared" si="3"/>
        <v>24</v>
      </c>
      <c r="J32" s="11">
        <v>1</v>
      </c>
      <c r="K32" s="12">
        <v>9</v>
      </c>
      <c r="L32" s="9">
        <v>1800</v>
      </c>
      <c r="M32" s="11">
        <v>10951.33</v>
      </c>
      <c r="N32" s="13">
        <v>46115</v>
      </c>
      <c r="O32" s="39" t="s">
        <v>46</v>
      </c>
    </row>
    <row r="33" spans="1:15" s="1" customFormat="1" ht="24.9" customHeight="1">
      <c r="A33" s="14">
        <v>31</v>
      </c>
      <c r="B33" s="19" t="s">
        <v>13</v>
      </c>
      <c r="C33" s="15" t="s">
        <v>138</v>
      </c>
      <c r="D33" s="16">
        <v>114</v>
      </c>
      <c r="E33" s="16" t="s">
        <v>13</v>
      </c>
      <c r="F33" s="10" t="s">
        <v>13</v>
      </c>
      <c r="G33" s="18">
        <v>19</v>
      </c>
      <c r="H33" s="18">
        <v>1</v>
      </c>
      <c r="I33" s="19">
        <f t="shared" si="3"/>
        <v>19</v>
      </c>
      <c r="J33" s="18">
        <v>1</v>
      </c>
      <c r="K33" s="12" t="s">
        <v>13</v>
      </c>
      <c r="L33" s="16">
        <v>5831</v>
      </c>
      <c r="M33" s="18">
        <v>1083</v>
      </c>
      <c r="N33" s="20">
        <v>46073</v>
      </c>
      <c r="O33" s="40" t="s">
        <v>51</v>
      </c>
    </row>
    <row r="34" spans="1:15" s="1" customFormat="1" ht="24.9" customHeight="1">
      <c r="A34" s="7">
        <v>32</v>
      </c>
      <c r="B34" s="12">
        <v>36</v>
      </c>
      <c r="C34" s="8" t="s">
        <v>285</v>
      </c>
      <c r="D34" s="9">
        <v>92.85</v>
      </c>
      <c r="E34" s="9">
        <v>44.65</v>
      </c>
      <c r="F34" s="10">
        <f>(D34-E34)/E34</f>
        <v>1.0795072788353863</v>
      </c>
      <c r="G34" s="11">
        <v>15</v>
      </c>
      <c r="H34" s="11">
        <v>2</v>
      </c>
      <c r="I34" s="12">
        <f t="shared" si="3"/>
        <v>7.5</v>
      </c>
      <c r="J34" s="11">
        <v>2</v>
      </c>
      <c r="K34" s="12" t="s">
        <v>13</v>
      </c>
      <c r="L34" s="9">
        <v>4065.99</v>
      </c>
      <c r="M34" s="11">
        <v>590</v>
      </c>
      <c r="N34" s="13">
        <v>46156</v>
      </c>
      <c r="O34" s="39" t="s">
        <v>279</v>
      </c>
    </row>
    <row r="35" spans="1:15" s="1" customFormat="1" ht="24.9" customHeight="1">
      <c r="A35" s="14">
        <v>33</v>
      </c>
      <c r="B35" s="19" t="s">
        <v>13</v>
      </c>
      <c r="C35" s="15" t="s">
        <v>50</v>
      </c>
      <c r="D35" s="16">
        <v>74</v>
      </c>
      <c r="E35" s="16" t="s">
        <v>13</v>
      </c>
      <c r="F35" s="10" t="s">
        <v>13</v>
      </c>
      <c r="G35" s="18">
        <v>11</v>
      </c>
      <c r="H35" s="18">
        <v>1</v>
      </c>
      <c r="I35" s="19">
        <f t="shared" si="3"/>
        <v>11</v>
      </c>
      <c r="J35" s="18">
        <v>1</v>
      </c>
      <c r="K35" s="12" t="s">
        <v>13</v>
      </c>
      <c r="L35" s="16">
        <v>50403</v>
      </c>
      <c r="M35" s="18">
        <v>7550</v>
      </c>
      <c r="N35" s="20">
        <v>46024</v>
      </c>
      <c r="O35" s="40" t="s">
        <v>51</v>
      </c>
    </row>
    <row r="36" spans="1:15" s="1" customFormat="1" ht="24.9" customHeight="1">
      <c r="A36" s="7">
        <v>34</v>
      </c>
      <c r="B36" s="12">
        <v>23</v>
      </c>
      <c r="C36" s="8" t="s">
        <v>233</v>
      </c>
      <c r="D36" s="9">
        <v>61.7</v>
      </c>
      <c r="E36" s="9">
        <v>134.94999999999999</v>
      </c>
      <c r="F36" s="10">
        <f t="shared" ref="F36:F41" si="4">(D36-E36)/E36</f>
        <v>-0.54279362726935898</v>
      </c>
      <c r="G36" s="11">
        <v>6</v>
      </c>
      <c r="H36" s="11">
        <v>1</v>
      </c>
      <c r="I36" s="12">
        <f t="shared" si="3"/>
        <v>6</v>
      </c>
      <c r="J36" s="11">
        <v>1</v>
      </c>
      <c r="K36" s="12" t="s">
        <v>13</v>
      </c>
      <c r="L36" s="9">
        <v>26303.09</v>
      </c>
      <c r="M36" s="11">
        <v>3586</v>
      </c>
      <c r="N36" s="13">
        <v>46104</v>
      </c>
      <c r="O36" s="39" t="s">
        <v>47</v>
      </c>
    </row>
    <row r="37" spans="1:15" ht="24.9" customHeight="1">
      <c r="A37" s="14">
        <v>35</v>
      </c>
      <c r="B37" s="19">
        <v>26</v>
      </c>
      <c r="C37" s="8" t="s">
        <v>271</v>
      </c>
      <c r="D37" s="16">
        <v>43</v>
      </c>
      <c r="E37" s="9">
        <v>128.25</v>
      </c>
      <c r="F37" s="17">
        <f t="shared" si="4"/>
        <v>-0.66471734892787526</v>
      </c>
      <c r="G37" s="18">
        <v>10</v>
      </c>
      <c r="H37" s="18">
        <v>2</v>
      </c>
      <c r="I37" s="19">
        <f t="shared" si="3"/>
        <v>5</v>
      </c>
      <c r="J37" s="18">
        <v>2</v>
      </c>
      <c r="K37" s="19">
        <v>3</v>
      </c>
      <c r="L37" s="16">
        <v>2140.65</v>
      </c>
      <c r="M37" s="18">
        <v>285</v>
      </c>
      <c r="N37" s="13">
        <v>46157</v>
      </c>
      <c r="O37" s="39" t="s">
        <v>272</v>
      </c>
    </row>
    <row r="38" spans="1:15" s="1" customFormat="1" ht="24.9" customHeight="1">
      <c r="A38" s="7">
        <v>36</v>
      </c>
      <c r="B38" s="12">
        <v>35</v>
      </c>
      <c r="C38" s="8" t="s">
        <v>196</v>
      </c>
      <c r="D38" s="9">
        <v>17.899999999999999</v>
      </c>
      <c r="E38" s="9">
        <v>49</v>
      </c>
      <c r="F38" s="10">
        <f t="shared" si="4"/>
        <v>-0.63469387755102047</v>
      </c>
      <c r="G38" s="11">
        <v>2</v>
      </c>
      <c r="H38" s="11">
        <v>1</v>
      </c>
      <c r="I38" s="12">
        <f t="shared" si="3"/>
        <v>2</v>
      </c>
      <c r="J38" s="11">
        <v>1</v>
      </c>
      <c r="K38" s="12" t="s">
        <v>13</v>
      </c>
      <c r="L38" s="9">
        <v>4492.1499999999996</v>
      </c>
      <c r="M38" s="11">
        <v>754</v>
      </c>
      <c r="N38" s="13">
        <v>46104</v>
      </c>
      <c r="O38" s="39" t="s">
        <v>47</v>
      </c>
    </row>
    <row r="39" spans="1:15" s="1" customFormat="1" ht="24.9" customHeight="1">
      <c r="A39" s="7">
        <v>37</v>
      </c>
      <c r="B39" s="12">
        <v>13</v>
      </c>
      <c r="C39" s="8" t="s">
        <v>278</v>
      </c>
      <c r="D39" s="9">
        <v>6.95</v>
      </c>
      <c r="E39" s="9">
        <v>1639.23</v>
      </c>
      <c r="F39" s="10">
        <f t="shared" si="4"/>
        <v>-0.99576020448625269</v>
      </c>
      <c r="G39" s="11">
        <v>1</v>
      </c>
      <c r="H39" s="11">
        <v>1</v>
      </c>
      <c r="I39" s="12">
        <f t="shared" si="3"/>
        <v>1</v>
      </c>
      <c r="J39" s="11">
        <v>1</v>
      </c>
      <c r="K39" s="12">
        <v>3</v>
      </c>
      <c r="L39" s="9">
        <v>11539.23</v>
      </c>
      <c r="M39" s="11">
        <v>1775</v>
      </c>
      <c r="N39" s="13">
        <v>46157</v>
      </c>
      <c r="O39" s="39" t="s">
        <v>94</v>
      </c>
    </row>
    <row r="40" spans="1:15" s="1" customFormat="1" ht="24.6" customHeight="1">
      <c r="A40" s="7">
        <v>38</v>
      </c>
      <c r="B40" s="12">
        <v>25</v>
      </c>
      <c r="C40" s="8" t="s">
        <v>191</v>
      </c>
      <c r="D40" s="9">
        <v>0</v>
      </c>
      <c r="E40" s="9">
        <v>129.1</v>
      </c>
      <c r="F40" s="10">
        <f t="shared" si="4"/>
        <v>-1</v>
      </c>
      <c r="G40" s="11">
        <v>2</v>
      </c>
      <c r="H40" s="11">
        <v>1</v>
      </c>
      <c r="I40" s="12">
        <f t="shared" si="3"/>
        <v>2</v>
      </c>
      <c r="J40" s="11">
        <v>1</v>
      </c>
      <c r="K40" s="12" t="s">
        <v>13</v>
      </c>
      <c r="L40" s="9">
        <v>48915.78</v>
      </c>
      <c r="M40" s="11">
        <v>6894</v>
      </c>
      <c r="N40" s="13">
        <v>46104</v>
      </c>
      <c r="O40" s="39" t="s">
        <v>47</v>
      </c>
    </row>
    <row r="41" spans="1:15" ht="24.75" customHeight="1">
      <c r="A41" s="59"/>
      <c r="B41" s="60" t="s">
        <v>14</v>
      </c>
      <c r="C41" s="61" t="s">
        <v>150</v>
      </c>
      <c r="D41" s="27">
        <f>SUBTOTAL(109,Table1324567891011121314151617181920212223[Pajamos 
(GBO)])</f>
        <v>220092.38999999998</v>
      </c>
      <c r="E41" s="27">
        <f>SUBTOTAL(109,Table1324567891011121314151617181920212223[Pajamos 
praeita sav.
(GBO LW)])</f>
        <v>145967.03000000006</v>
      </c>
      <c r="F41" s="62">
        <f t="shared" si="4"/>
        <v>0.50782262268403966</v>
      </c>
      <c r="G41" s="34">
        <f>SUBTOTAL(109,Table1324567891011121314151617181920212223[Žiūrovų sk. 
(ADM)])</f>
        <v>28852</v>
      </c>
      <c r="H41" s="63"/>
      <c r="I41" s="59"/>
      <c r="J41" s="63"/>
      <c r="K41" s="64"/>
      <c r="L41" s="65"/>
      <c r="M41" s="63"/>
      <c r="N41" s="66"/>
      <c r="O41" s="67"/>
    </row>
    <row r="42" spans="1:15"/>
    <row r="43" spans="1:15"/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</sheetData>
  <mergeCells count="1">
    <mergeCell ref="A1:O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69B9-CC62-4C39-A7CD-82828D105E85}">
  <dimension ref="A1:XFC317"/>
  <sheetViews>
    <sheetView topLeftCell="A19" zoomScale="60" zoomScaleNormal="60" workbookViewId="0">
      <selection activeCell="O37" sqref="O37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287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7">
        <v>1</v>
      </c>
      <c r="B3" s="12">
        <v>1</v>
      </c>
      <c r="C3" s="8" t="s">
        <v>263</v>
      </c>
      <c r="D3" s="9">
        <v>36589.25</v>
      </c>
      <c r="E3" s="9">
        <v>73331.289999999994</v>
      </c>
      <c r="F3" s="10">
        <f>(D3-E3)/E3</f>
        <v>-0.50104177902775193</v>
      </c>
      <c r="G3" s="11">
        <v>4233</v>
      </c>
      <c r="H3" s="11">
        <v>161</v>
      </c>
      <c r="I3" s="12">
        <f>G3/H3</f>
        <v>26.29192546583851</v>
      </c>
      <c r="J3" s="11">
        <v>20</v>
      </c>
      <c r="K3" s="12">
        <v>4</v>
      </c>
      <c r="L3" s="9">
        <v>795438.14</v>
      </c>
      <c r="M3" s="11">
        <v>93131</v>
      </c>
      <c r="N3" s="13">
        <v>46143</v>
      </c>
      <c r="O3" s="39" t="s">
        <v>37</v>
      </c>
    </row>
    <row r="4" spans="1:15" s="2" customFormat="1" ht="24.9" customHeight="1">
      <c r="A4" s="7">
        <v>2</v>
      </c>
      <c r="B4" s="12" t="s">
        <v>49</v>
      </c>
      <c r="C4" s="8" t="s">
        <v>292</v>
      </c>
      <c r="D4" s="9">
        <v>28663.72</v>
      </c>
      <c r="E4" s="9" t="s">
        <v>13</v>
      </c>
      <c r="F4" s="10" t="s">
        <v>13</v>
      </c>
      <c r="G4" s="11">
        <v>3034</v>
      </c>
      <c r="H4" s="11">
        <v>138</v>
      </c>
      <c r="I4" s="12">
        <v>21.985507246376812</v>
      </c>
      <c r="J4" s="11">
        <v>28</v>
      </c>
      <c r="K4" s="12">
        <v>1</v>
      </c>
      <c r="L4" s="9">
        <v>38030.39</v>
      </c>
      <c r="M4" s="11">
        <v>4029</v>
      </c>
      <c r="N4" s="13">
        <v>46164</v>
      </c>
      <c r="O4" s="39" t="s">
        <v>37</v>
      </c>
    </row>
    <row r="5" spans="1:15" s="2" customFormat="1" ht="24.9" customHeight="1">
      <c r="A5" s="7">
        <v>3</v>
      </c>
      <c r="B5" s="12">
        <v>2</v>
      </c>
      <c r="C5" s="8" t="s">
        <v>251</v>
      </c>
      <c r="D5" s="9">
        <v>25797.17</v>
      </c>
      <c r="E5" s="9">
        <v>42092.36</v>
      </c>
      <c r="F5" s="10">
        <f>(D5-E5)/E5</f>
        <v>-0.38712939830411036</v>
      </c>
      <c r="G5" s="11">
        <v>3499</v>
      </c>
      <c r="H5" s="11">
        <v>105</v>
      </c>
      <c r="I5" s="12">
        <f t="shared" ref="I5:I12" si="0">G5/H5</f>
        <v>33.323809523809523</v>
      </c>
      <c r="J5" s="11">
        <v>16</v>
      </c>
      <c r="K5" s="12">
        <v>5</v>
      </c>
      <c r="L5" s="9">
        <v>480214.44</v>
      </c>
      <c r="M5" s="11">
        <v>60762</v>
      </c>
      <c r="N5" s="13">
        <v>46136</v>
      </c>
      <c r="O5" s="39" t="s">
        <v>207</v>
      </c>
    </row>
    <row r="6" spans="1:15" s="2" customFormat="1" ht="24.9" customHeight="1">
      <c r="A6" s="7">
        <v>4</v>
      </c>
      <c r="B6" s="12" t="s">
        <v>49</v>
      </c>
      <c r="C6" s="8" t="s">
        <v>291</v>
      </c>
      <c r="D6" s="9">
        <v>10850.11</v>
      </c>
      <c r="E6" s="9" t="s">
        <v>13</v>
      </c>
      <c r="F6" s="10" t="s">
        <v>13</v>
      </c>
      <c r="G6" s="11">
        <v>1391</v>
      </c>
      <c r="H6" s="11">
        <v>71</v>
      </c>
      <c r="I6" s="12">
        <f t="shared" si="0"/>
        <v>19.591549295774648</v>
      </c>
      <c r="J6" s="11">
        <v>14</v>
      </c>
      <c r="K6" s="12">
        <v>1</v>
      </c>
      <c r="L6" s="9">
        <v>10850.11</v>
      </c>
      <c r="M6" s="11">
        <v>1391</v>
      </c>
      <c r="N6" s="13">
        <v>46164</v>
      </c>
      <c r="O6" s="39" t="s">
        <v>279</v>
      </c>
    </row>
    <row r="7" spans="1:15" s="2" customFormat="1" ht="24.9" customHeight="1">
      <c r="A7" s="7">
        <v>5</v>
      </c>
      <c r="B7" s="12">
        <v>3</v>
      </c>
      <c r="C7" s="8" t="s">
        <v>216</v>
      </c>
      <c r="D7" s="9">
        <v>9275.42</v>
      </c>
      <c r="E7" s="9">
        <v>16852.14</v>
      </c>
      <c r="F7" s="10">
        <f t="shared" ref="F7:F16" si="1">(D7-E7)/E7</f>
        <v>-0.44959987277580177</v>
      </c>
      <c r="G7" s="11">
        <v>1499</v>
      </c>
      <c r="H7" s="11">
        <v>77</v>
      </c>
      <c r="I7" s="12">
        <f t="shared" si="0"/>
        <v>19.467532467532468</v>
      </c>
      <c r="J7" s="11">
        <v>17</v>
      </c>
      <c r="K7" s="12">
        <v>9</v>
      </c>
      <c r="L7" s="9">
        <v>485328.57</v>
      </c>
      <c r="M7" s="11">
        <v>77585</v>
      </c>
      <c r="N7" s="13">
        <v>46113</v>
      </c>
      <c r="O7" s="39" t="s">
        <v>207</v>
      </c>
    </row>
    <row r="8" spans="1:15" s="2" customFormat="1" ht="24.9" customHeight="1">
      <c r="A8" s="7">
        <v>6</v>
      </c>
      <c r="B8" s="12">
        <v>4</v>
      </c>
      <c r="C8" s="8" t="s">
        <v>262</v>
      </c>
      <c r="D8" s="9">
        <v>8962.75</v>
      </c>
      <c r="E8" s="9">
        <v>15041.76</v>
      </c>
      <c r="F8" s="10">
        <f t="shared" si="1"/>
        <v>-0.40414220144451179</v>
      </c>
      <c r="G8" s="11">
        <v>1389</v>
      </c>
      <c r="H8" s="11">
        <v>82</v>
      </c>
      <c r="I8" s="12">
        <f t="shared" si="0"/>
        <v>16.939024390243901</v>
      </c>
      <c r="J8" s="11">
        <v>15</v>
      </c>
      <c r="K8" s="12">
        <v>3</v>
      </c>
      <c r="L8" s="9">
        <v>71367.47</v>
      </c>
      <c r="M8" s="11">
        <v>11810</v>
      </c>
      <c r="N8" s="13">
        <v>46150</v>
      </c>
      <c r="O8" s="39" t="s">
        <v>39</v>
      </c>
    </row>
    <row r="9" spans="1:15" s="2" customFormat="1" ht="24.9" customHeight="1">
      <c r="A9" s="7">
        <v>7</v>
      </c>
      <c r="B9" s="12">
        <v>5</v>
      </c>
      <c r="C9" s="8" t="s">
        <v>283</v>
      </c>
      <c r="D9" s="9">
        <v>5972.72</v>
      </c>
      <c r="E9" s="9">
        <v>11317.78</v>
      </c>
      <c r="F9" s="10">
        <f t="shared" si="1"/>
        <v>-0.47227106375985395</v>
      </c>
      <c r="G9" s="11">
        <v>760</v>
      </c>
      <c r="H9" s="11">
        <v>46</v>
      </c>
      <c r="I9" s="12">
        <f t="shared" si="0"/>
        <v>16.521739130434781</v>
      </c>
      <c r="J9" s="11">
        <v>10</v>
      </c>
      <c r="K9" s="12">
        <v>2</v>
      </c>
      <c r="L9" s="9">
        <v>26775.81</v>
      </c>
      <c r="M9" s="11">
        <v>3874</v>
      </c>
      <c r="N9" s="13">
        <v>46157</v>
      </c>
      <c r="O9" s="39" t="s">
        <v>42</v>
      </c>
    </row>
    <row r="10" spans="1:15" s="2" customFormat="1" ht="24.9" customHeight="1">
      <c r="A10" s="7">
        <v>8</v>
      </c>
      <c r="B10" s="12">
        <v>7</v>
      </c>
      <c r="C10" s="8" t="s">
        <v>184</v>
      </c>
      <c r="D10" s="9">
        <v>3422.78</v>
      </c>
      <c r="E10" s="9">
        <v>6678.85</v>
      </c>
      <c r="F10" s="10">
        <f t="shared" si="1"/>
        <v>-0.48751955800774083</v>
      </c>
      <c r="G10" s="11">
        <v>430</v>
      </c>
      <c r="H10" s="11">
        <v>20</v>
      </c>
      <c r="I10" s="12">
        <f t="shared" si="0"/>
        <v>21.5</v>
      </c>
      <c r="J10" s="11">
        <v>6</v>
      </c>
      <c r="K10" s="12">
        <v>10</v>
      </c>
      <c r="L10" s="9">
        <v>685804.78</v>
      </c>
      <c r="M10" s="11">
        <v>77458</v>
      </c>
      <c r="N10" s="13">
        <v>46101</v>
      </c>
      <c r="O10" s="39" t="s">
        <v>39</v>
      </c>
    </row>
    <row r="11" spans="1:15" s="2" customFormat="1" ht="24.9" customHeight="1">
      <c r="A11" s="7">
        <v>9</v>
      </c>
      <c r="B11" s="12">
        <v>6</v>
      </c>
      <c r="C11" s="8" t="s">
        <v>267</v>
      </c>
      <c r="D11" s="9">
        <v>2800.49</v>
      </c>
      <c r="E11" s="9">
        <v>8145.61</v>
      </c>
      <c r="F11" s="10">
        <f t="shared" si="1"/>
        <v>-0.6561964051802136</v>
      </c>
      <c r="G11" s="11">
        <v>330</v>
      </c>
      <c r="H11" s="11">
        <v>20</v>
      </c>
      <c r="I11" s="12">
        <f t="shared" si="0"/>
        <v>16.5</v>
      </c>
      <c r="J11" s="11">
        <v>6</v>
      </c>
      <c r="K11" s="12">
        <v>3</v>
      </c>
      <c r="L11" s="9">
        <v>53840.59</v>
      </c>
      <c r="M11" s="11">
        <v>7284</v>
      </c>
      <c r="N11" s="13">
        <v>46150</v>
      </c>
      <c r="O11" s="39" t="s">
        <v>55</v>
      </c>
    </row>
    <row r="12" spans="1:15" s="2" customFormat="1" ht="24.9" customHeight="1">
      <c r="A12" s="7">
        <v>10</v>
      </c>
      <c r="B12" s="12">
        <v>11</v>
      </c>
      <c r="C12" s="8" t="s">
        <v>261</v>
      </c>
      <c r="D12" s="9">
        <v>2398.52</v>
      </c>
      <c r="E12" s="9">
        <v>4507.0600000000004</v>
      </c>
      <c r="F12" s="10">
        <f t="shared" si="1"/>
        <v>-0.46783047041752279</v>
      </c>
      <c r="G12" s="11">
        <v>315</v>
      </c>
      <c r="H12" s="11">
        <v>11</v>
      </c>
      <c r="I12" s="12">
        <f t="shared" si="0"/>
        <v>28.636363636363637</v>
      </c>
      <c r="J12" s="11">
        <v>4</v>
      </c>
      <c r="K12" s="12">
        <v>4</v>
      </c>
      <c r="L12" s="9">
        <v>48477.16</v>
      </c>
      <c r="M12" s="11">
        <v>6630</v>
      </c>
      <c r="N12" s="13">
        <v>46143</v>
      </c>
      <c r="O12" s="39" t="s">
        <v>42</v>
      </c>
    </row>
    <row r="13" spans="1:15" s="2" customFormat="1" ht="24.9" customHeight="1">
      <c r="A13" s="7">
        <v>11</v>
      </c>
      <c r="B13" s="12">
        <v>8</v>
      </c>
      <c r="C13" s="8" t="s">
        <v>284</v>
      </c>
      <c r="D13" s="9">
        <v>2031</v>
      </c>
      <c r="E13" s="9">
        <v>5989</v>
      </c>
      <c r="F13" s="10">
        <f t="shared" si="1"/>
        <v>-0.66087827684087497</v>
      </c>
      <c r="G13" s="11">
        <v>352</v>
      </c>
      <c r="H13" s="12" t="s">
        <v>13</v>
      </c>
      <c r="I13" s="12" t="s">
        <v>13</v>
      </c>
      <c r="J13" s="11">
        <v>11</v>
      </c>
      <c r="K13" s="12">
        <v>2</v>
      </c>
      <c r="L13" s="9">
        <v>9926</v>
      </c>
      <c r="M13" s="11">
        <v>1840</v>
      </c>
      <c r="N13" s="13">
        <v>46157</v>
      </c>
      <c r="O13" s="39" t="s">
        <v>44</v>
      </c>
    </row>
    <row r="14" spans="1:15" s="2" customFormat="1" ht="24.9" customHeight="1">
      <c r="A14" s="7">
        <v>12</v>
      </c>
      <c r="B14" s="12">
        <v>9</v>
      </c>
      <c r="C14" s="8" t="s">
        <v>248</v>
      </c>
      <c r="D14" s="9">
        <v>1962</v>
      </c>
      <c r="E14" s="9">
        <v>4679</v>
      </c>
      <c r="F14" s="10">
        <f t="shared" si="1"/>
        <v>-0.58067963240008547</v>
      </c>
      <c r="G14" s="11">
        <v>346</v>
      </c>
      <c r="H14" s="12" t="s">
        <v>13</v>
      </c>
      <c r="I14" s="12" t="s">
        <v>13</v>
      </c>
      <c r="J14" s="11">
        <v>10</v>
      </c>
      <c r="K14" s="12">
        <v>5</v>
      </c>
      <c r="L14" s="9">
        <v>69313</v>
      </c>
      <c r="M14" s="11">
        <v>12393</v>
      </c>
      <c r="N14" s="13">
        <v>46136</v>
      </c>
      <c r="O14" s="39" t="s">
        <v>44</v>
      </c>
    </row>
    <row r="15" spans="1:15" s="2" customFormat="1" ht="24.6" customHeight="1">
      <c r="A15" s="7">
        <v>13</v>
      </c>
      <c r="B15" s="12">
        <v>10</v>
      </c>
      <c r="C15" s="8" t="s">
        <v>278</v>
      </c>
      <c r="D15" s="9">
        <v>1639.23</v>
      </c>
      <c r="E15" s="9">
        <v>4632.59</v>
      </c>
      <c r="F15" s="10">
        <f t="shared" si="1"/>
        <v>-0.64615258419156452</v>
      </c>
      <c r="G15" s="11">
        <v>204</v>
      </c>
      <c r="H15" s="11">
        <v>26</v>
      </c>
      <c r="I15" s="12">
        <f t="shared" ref="I15:I38" si="2">G15/H15</f>
        <v>7.8461538461538458</v>
      </c>
      <c r="J15" s="11">
        <v>10</v>
      </c>
      <c r="K15" s="12">
        <v>2</v>
      </c>
      <c r="L15" s="9">
        <v>10162.65</v>
      </c>
      <c r="M15" s="11">
        <v>1572</v>
      </c>
      <c r="N15" s="13">
        <v>46157</v>
      </c>
      <c r="O15" s="39" t="s">
        <v>94</v>
      </c>
    </row>
    <row r="16" spans="1:15" s="2" customFormat="1" ht="24.9" customHeight="1">
      <c r="A16" s="7">
        <v>14</v>
      </c>
      <c r="B16" s="12">
        <v>12</v>
      </c>
      <c r="C16" s="8" t="s">
        <v>170</v>
      </c>
      <c r="D16" s="9">
        <v>1378.01</v>
      </c>
      <c r="E16" s="9">
        <v>3936.27</v>
      </c>
      <c r="F16" s="10">
        <f t="shared" si="1"/>
        <v>-0.64991984797790803</v>
      </c>
      <c r="G16" s="11">
        <v>216</v>
      </c>
      <c r="H16" s="11">
        <v>16</v>
      </c>
      <c r="I16" s="12">
        <f t="shared" si="2"/>
        <v>13.5</v>
      </c>
      <c r="J16" s="11">
        <v>6</v>
      </c>
      <c r="K16" s="12">
        <v>12</v>
      </c>
      <c r="L16" s="9">
        <v>387346.24</v>
      </c>
      <c r="M16" s="11">
        <v>64425</v>
      </c>
      <c r="N16" s="13">
        <v>46087</v>
      </c>
      <c r="O16" s="39" t="s">
        <v>37</v>
      </c>
    </row>
    <row r="17" spans="1:15" s="2" customFormat="1" ht="24.9" customHeight="1">
      <c r="A17" s="7">
        <v>15</v>
      </c>
      <c r="B17" s="12" t="s">
        <v>53</v>
      </c>
      <c r="C17" s="8" t="s">
        <v>290</v>
      </c>
      <c r="D17" s="9">
        <v>1034.47</v>
      </c>
      <c r="E17" s="9" t="s">
        <v>13</v>
      </c>
      <c r="F17" s="10" t="s">
        <v>13</v>
      </c>
      <c r="G17" s="11">
        <v>170</v>
      </c>
      <c r="H17" s="11">
        <v>6</v>
      </c>
      <c r="I17" s="12">
        <f t="shared" si="2"/>
        <v>28.333333333333332</v>
      </c>
      <c r="J17" s="11">
        <v>6</v>
      </c>
      <c r="K17" s="12">
        <v>0</v>
      </c>
      <c r="L17" s="9">
        <v>1034.47</v>
      </c>
      <c r="M17" s="11">
        <v>170</v>
      </c>
      <c r="N17" s="13" t="s">
        <v>45</v>
      </c>
      <c r="O17" s="39" t="s">
        <v>42</v>
      </c>
    </row>
    <row r="18" spans="1:15" s="1" customFormat="1" ht="24.6" customHeight="1">
      <c r="A18" s="7">
        <v>16</v>
      </c>
      <c r="B18" s="12" t="s">
        <v>13</v>
      </c>
      <c r="C18" s="8" t="s">
        <v>273</v>
      </c>
      <c r="D18" s="9">
        <v>679.53</v>
      </c>
      <c r="E18" s="9" t="s">
        <v>13</v>
      </c>
      <c r="F18" s="10" t="s">
        <v>13</v>
      </c>
      <c r="G18" s="11">
        <v>104</v>
      </c>
      <c r="H18" s="11">
        <v>3</v>
      </c>
      <c r="I18" s="12">
        <f t="shared" si="2"/>
        <v>34.666666666666664</v>
      </c>
      <c r="J18" s="11">
        <v>3</v>
      </c>
      <c r="K18" s="12" t="s">
        <v>13</v>
      </c>
      <c r="L18" s="9">
        <v>3171</v>
      </c>
      <c r="M18" s="11">
        <v>514</v>
      </c>
      <c r="N18" s="13">
        <v>46143</v>
      </c>
      <c r="O18" s="39" t="s">
        <v>51</v>
      </c>
    </row>
    <row r="19" spans="1:15" ht="24.9" customHeight="1">
      <c r="A19" s="7">
        <v>17</v>
      </c>
      <c r="B19" s="12">
        <v>15</v>
      </c>
      <c r="C19" s="8" t="s">
        <v>235</v>
      </c>
      <c r="D19" s="9">
        <v>674.55</v>
      </c>
      <c r="E19" s="9">
        <v>1058.5</v>
      </c>
      <c r="F19" s="10">
        <f>(D19-E19)/E19</f>
        <v>-0.36273027869626834</v>
      </c>
      <c r="G19" s="11">
        <v>91</v>
      </c>
      <c r="H19" s="11">
        <v>11</v>
      </c>
      <c r="I19" s="12">
        <f t="shared" si="2"/>
        <v>8.2727272727272734</v>
      </c>
      <c r="J19" s="11">
        <v>4</v>
      </c>
      <c r="K19" s="12">
        <v>7</v>
      </c>
      <c r="L19" s="9">
        <v>194139.31999999998</v>
      </c>
      <c r="M19" s="11">
        <v>26844</v>
      </c>
      <c r="N19" s="13">
        <v>46122</v>
      </c>
      <c r="O19" s="39" t="s">
        <v>47</v>
      </c>
    </row>
    <row r="20" spans="1:15" s="1" customFormat="1" ht="24.9" customHeight="1">
      <c r="A20" s="7">
        <v>18</v>
      </c>
      <c r="B20" s="12">
        <v>14</v>
      </c>
      <c r="C20" s="8" t="s">
        <v>257</v>
      </c>
      <c r="D20" s="9">
        <v>450.17</v>
      </c>
      <c r="E20" s="9">
        <v>1242.3599999999999</v>
      </c>
      <c r="F20" s="10">
        <f>(D20-E20)/E20</f>
        <v>-0.63764931259860258</v>
      </c>
      <c r="G20" s="11">
        <v>89</v>
      </c>
      <c r="H20" s="11">
        <v>9</v>
      </c>
      <c r="I20" s="12">
        <f t="shared" si="2"/>
        <v>9.8888888888888893</v>
      </c>
      <c r="J20" s="11">
        <v>5</v>
      </c>
      <c r="K20" s="12">
        <v>4</v>
      </c>
      <c r="L20" s="9">
        <v>16895.109999999997</v>
      </c>
      <c r="M20" s="11">
        <v>3191</v>
      </c>
      <c r="N20" s="13">
        <v>46143</v>
      </c>
      <c r="O20" s="39" t="s">
        <v>46</v>
      </c>
    </row>
    <row r="21" spans="1:15" s="1" customFormat="1" ht="24.9" customHeight="1">
      <c r="A21" s="7">
        <v>19</v>
      </c>
      <c r="B21" s="12">
        <v>25</v>
      </c>
      <c r="C21" s="8" t="s">
        <v>266</v>
      </c>
      <c r="D21" s="9">
        <v>369</v>
      </c>
      <c r="E21" s="9">
        <v>190.93</v>
      </c>
      <c r="F21" s="10">
        <f>(D21-E21)/E21</f>
        <v>0.93264547216257265</v>
      </c>
      <c r="G21" s="11">
        <v>142</v>
      </c>
      <c r="H21" s="11">
        <v>7</v>
      </c>
      <c r="I21" s="12">
        <f t="shared" si="2"/>
        <v>20.285714285714285</v>
      </c>
      <c r="J21" s="11">
        <v>3</v>
      </c>
      <c r="K21" s="12">
        <v>3</v>
      </c>
      <c r="L21" s="9">
        <v>1447.05</v>
      </c>
      <c r="M21" s="11">
        <v>431</v>
      </c>
      <c r="N21" s="13">
        <v>46150</v>
      </c>
      <c r="O21" s="39" t="s">
        <v>86</v>
      </c>
    </row>
    <row r="22" spans="1:15" s="1" customFormat="1" ht="24.9" customHeight="1">
      <c r="A22" s="7">
        <v>20</v>
      </c>
      <c r="B22" s="12" t="s">
        <v>13</v>
      </c>
      <c r="C22" s="8" t="s">
        <v>205</v>
      </c>
      <c r="D22" s="9">
        <v>300</v>
      </c>
      <c r="E22" s="9" t="s">
        <v>13</v>
      </c>
      <c r="F22" s="10" t="s">
        <v>13</v>
      </c>
      <c r="G22" s="11">
        <v>60</v>
      </c>
      <c r="H22" s="11">
        <v>1</v>
      </c>
      <c r="I22" s="12">
        <f t="shared" si="2"/>
        <v>60</v>
      </c>
      <c r="J22" s="11">
        <v>1</v>
      </c>
      <c r="K22" s="12" t="s">
        <v>13</v>
      </c>
      <c r="L22" s="9">
        <v>29484.05</v>
      </c>
      <c r="M22" s="11">
        <v>5562</v>
      </c>
      <c r="N22" s="13">
        <v>46108</v>
      </c>
      <c r="O22" s="39" t="s">
        <v>94</v>
      </c>
    </row>
    <row r="23" spans="1:15" s="1" customFormat="1" ht="24.9" customHeight="1">
      <c r="A23" s="7">
        <v>21</v>
      </c>
      <c r="B23" s="12">
        <v>24</v>
      </c>
      <c r="C23" s="8" t="s">
        <v>243</v>
      </c>
      <c r="D23" s="9">
        <v>252.5</v>
      </c>
      <c r="E23" s="9">
        <v>213.4</v>
      </c>
      <c r="F23" s="10">
        <v>0.73100381194409125</v>
      </c>
      <c r="G23" s="11">
        <v>30</v>
      </c>
      <c r="H23" s="11">
        <v>3</v>
      </c>
      <c r="I23" s="12">
        <f t="shared" si="2"/>
        <v>10</v>
      </c>
      <c r="J23" s="11">
        <v>1</v>
      </c>
      <c r="K23" s="12">
        <v>6</v>
      </c>
      <c r="L23" s="9">
        <v>3659.4599999999996</v>
      </c>
      <c r="M23" s="11">
        <v>624</v>
      </c>
      <c r="N23" s="13">
        <v>46129</v>
      </c>
      <c r="O23" s="39" t="s">
        <v>43</v>
      </c>
    </row>
    <row r="24" spans="1:15" s="1" customFormat="1" ht="24.9" customHeight="1">
      <c r="A24" s="7">
        <v>22</v>
      </c>
      <c r="B24" s="12" t="s">
        <v>13</v>
      </c>
      <c r="C24" s="8" t="s">
        <v>78</v>
      </c>
      <c r="D24" s="9">
        <v>192.76999999999998</v>
      </c>
      <c r="E24" s="9" t="s">
        <v>13</v>
      </c>
      <c r="F24" s="10" t="s">
        <v>13</v>
      </c>
      <c r="G24" s="11">
        <v>23</v>
      </c>
      <c r="H24" s="11">
        <v>2</v>
      </c>
      <c r="I24" s="12">
        <f t="shared" si="2"/>
        <v>11.5</v>
      </c>
      <c r="J24" s="11">
        <v>2</v>
      </c>
      <c r="K24" s="12" t="s">
        <v>13</v>
      </c>
      <c r="L24" s="9">
        <v>152742.22999999998</v>
      </c>
      <c r="M24" s="11">
        <v>21152</v>
      </c>
      <c r="N24" s="13">
        <v>46038</v>
      </c>
      <c r="O24" s="39" t="s">
        <v>47</v>
      </c>
    </row>
    <row r="25" spans="1:15" s="1" customFormat="1" ht="24.6" customHeight="1">
      <c r="A25" s="7">
        <v>23</v>
      </c>
      <c r="B25" s="12">
        <v>34</v>
      </c>
      <c r="C25" s="8" t="s">
        <v>233</v>
      </c>
      <c r="D25" s="9">
        <v>134.94999999999999</v>
      </c>
      <c r="E25" s="9">
        <v>35.799999999999997</v>
      </c>
      <c r="F25" s="10">
        <f>(D25-E25)/E25</f>
        <v>2.7695530726256985</v>
      </c>
      <c r="G25" s="11">
        <v>18</v>
      </c>
      <c r="H25" s="11">
        <v>3</v>
      </c>
      <c r="I25" s="12">
        <f t="shared" si="2"/>
        <v>6</v>
      </c>
      <c r="J25" s="11">
        <v>3</v>
      </c>
      <c r="K25" s="12" t="s">
        <v>13</v>
      </c>
      <c r="L25" s="9">
        <v>26104.39</v>
      </c>
      <c r="M25" s="11">
        <v>3556</v>
      </c>
      <c r="N25" s="13">
        <v>46104</v>
      </c>
      <c r="O25" s="39" t="s">
        <v>47</v>
      </c>
    </row>
    <row r="26" spans="1:15" s="1" customFormat="1" ht="24.9" customHeight="1">
      <c r="A26" s="7">
        <v>24</v>
      </c>
      <c r="B26" s="12">
        <v>18</v>
      </c>
      <c r="C26" s="8" t="s">
        <v>239</v>
      </c>
      <c r="D26" s="9">
        <v>132</v>
      </c>
      <c r="E26" s="9">
        <v>495</v>
      </c>
      <c r="F26" s="10">
        <f>(D26-E26)/E26</f>
        <v>-0.73333333333333328</v>
      </c>
      <c r="G26" s="11">
        <v>17</v>
      </c>
      <c r="H26" s="11">
        <v>2</v>
      </c>
      <c r="I26" s="12">
        <f t="shared" si="2"/>
        <v>8.5</v>
      </c>
      <c r="J26" s="11">
        <v>1</v>
      </c>
      <c r="K26" s="12">
        <v>6</v>
      </c>
      <c r="L26" s="9">
        <v>93212.06</v>
      </c>
      <c r="M26" s="11">
        <v>12398</v>
      </c>
      <c r="N26" s="13">
        <v>46129</v>
      </c>
      <c r="O26" s="39" t="s">
        <v>55</v>
      </c>
    </row>
    <row r="27" spans="1:15" s="1" customFormat="1" ht="24.9" customHeight="1">
      <c r="A27" s="7">
        <v>25</v>
      </c>
      <c r="B27" s="12" t="s">
        <v>13</v>
      </c>
      <c r="C27" s="8" t="s">
        <v>191</v>
      </c>
      <c r="D27" s="9">
        <v>129.1</v>
      </c>
      <c r="E27" s="9" t="s">
        <v>13</v>
      </c>
      <c r="F27" s="10" t="s">
        <v>13</v>
      </c>
      <c r="G27" s="11">
        <v>17</v>
      </c>
      <c r="H27" s="11">
        <v>2</v>
      </c>
      <c r="I27" s="12">
        <f t="shared" si="2"/>
        <v>8.5</v>
      </c>
      <c r="J27" s="11">
        <v>2</v>
      </c>
      <c r="K27" s="12" t="s">
        <v>13</v>
      </c>
      <c r="L27" s="9">
        <v>48915.78</v>
      </c>
      <c r="M27" s="11">
        <v>6892</v>
      </c>
      <c r="N27" s="13">
        <v>46104</v>
      </c>
      <c r="O27" s="39" t="s">
        <v>47</v>
      </c>
    </row>
    <row r="28" spans="1:15" ht="24.9" customHeight="1">
      <c r="A28" s="7">
        <v>26</v>
      </c>
      <c r="B28" s="12">
        <v>18</v>
      </c>
      <c r="C28" s="8" t="s">
        <v>271</v>
      </c>
      <c r="D28" s="9">
        <v>128.25</v>
      </c>
      <c r="E28" s="9">
        <v>501.7</v>
      </c>
      <c r="F28" s="10">
        <v>-0.35843189516352941</v>
      </c>
      <c r="G28" s="11">
        <v>28</v>
      </c>
      <c r="H28" s="11">
        <v>5</v>
      </c>
      <c r="I28" s="12">
        <f t="shared" si="2"/>
        <v>5.6</v>
      </c>
      <c r="J28" s="11">
        <v>3</v>
      </c>
      <c r="K28" s="12">
        <v>2</v>
      </c>
      <c r="L28" s="9">
        <v>1725.8</v>
      </c>
      <c r="M28" s="11">
        <v>209</v>
      </c>
      <c r="N28" s="13">
        <v>46157</v>
      </c>
      <c r="O28" s="39" t="s">
        <v>272</v>
      </c>
    </row>
    <row r="29" spans="1:15" s="1" customFormat="1" ht="24.9" customHeight="1">
      <c r="A29" s="7">
        <v>27</v>
      </c>
      <c r="B29" s="12" t="s">
        <v>13</v>
      </c>
      <c r="C29" s="8" t="s">
        <v>161</v>
      </c>
      <c r="D29" s="9">
        <v>119.5</v>
      </c>
      <c r="E29" s="9" t="s">
        <v>13</v>
      </c>
      <c r="F29" s="10" t="s">
        <v>13</v>
      </c>
      <c r="G29" s="11">
        <v>19</v>
      </c>
      <c r="H29" s="11">
        <v>1</v>
      </c>
      <c r="I29" s="12">
        <f t="shared" si="2"/>
        <v>19</v>
      </c>
      <c r="J29" s="11">
        <v>1</v>
      </c>
      <c r="K29" s="12" t="s">
        <v>13</v>
      </c>
      <c r="L29" s="9">
        <v>22357.84</v>
      </c>
      <c r="M29" s="11">
        <v>3216</v>
      </c>
      <c r="N29" s="13">
        <v>46080</v>
      </c>
      <c r="O29" s="39" t="s">
        <v>42</v>
      </c>
    </row>
    <row r="30" spans="1:15" s="1" customFormat="1" ht="24.9" customHeight="1">
      <c r="A30" s="7">
        <v>28</v>
      </c>
      <c r="B30" s="12" t="s">
        <v>13</v>
      </c>
      <c r="C30" s="8" t="s">
        <v>230</v>
      </c>
      <c r="D30" s="9">
        <v>115.53999999999999</v>
      </c>
      <c r="E30" s="9">
        <v>180.09</v>
      </c>
      <c r="F30" s="10">
        <f>(D30-E30)/E30</f>
        <v>-0.35843189516352941</v>
      </c>
      <c r="G30" s="11">
        <v>18</v>
      </c>
      <c r="H30" s="11">
        <v>1</v>
      </c>
      <c r="I30" s="12">
        <f t="shared" si="2"/>
        <v>18</v>
      </c>
      <c r="J30" s="11">
        <v>1</v>
      </c>
      <c r="K30" s="12" t="s">
        <v>13</v>
      </c>
      <c r="L30" s="9">
        <v>14554</v>
      </c>
      <c r="M30" s="11">
        <v>2470</v>
      </c>
      <c r="N30" s="13">
        <v>46122</v>
      </c>
      <c r="O30" s="39" t="s">
        <v>51</v>
      </c>
    </row>
    <row r="31" spans="1:15" s="1" customFormat="1" ht="24.9" customHeight="1">
      <c r="A31" s="7">
        <v>29</v>
      </c>
      <c r="B31" s="12" t="s">
        <v>13</v>
      </c>
      <c r="C31" s="8" t="s">
        <v>293</v>
      </c>
      <c r="D31" s="9">
        <v>100</v>
      </c>
      <c r="E31" s="9" t="s">
        <v>13</v>
      </c>
      <c r="F31" s="10" t="s">
        <v>13</v>
      </c>
      <c r="G31" s="11">
        <v>42</v>
      </c>
      <c r="H31" s="11">
        <v>1</v>
      </c>
      <c r="I31" s="12">
        <f t="shared" si="2"/>
        <v>42</v>
      </c>
      <c r="J31" s="11">
        <v>1</v>
      </c>
      <c r="K31" s="12" t="s">
        <v>13</v>
      </c>
      <c r="L31" s="9">
        <v>10127.23</v>
      </c>
      <c r="M31" s="11">
        <v>3025</v>
      </c>
      <c r="N31" s="13">
        <v>44624</v>
      </c>
      <c r="O31" s="39" t="s">
        <v>86</v>
      </c>
    </row>
    <row r="32" spans="1:15" ht="24.9" customHeight="1">
      <c r="A32" s="7">
        <v>30</v>
      </c>
      <c r="B32" s="12" t="s">
        <v>13</v>
      </c>
      <c r="C32" s="8" t="s">
        <v>240</v>
      </c>
      <c r="D32" s="9">
        <v>92.5</v>
      </c>
      <c r="E32" s="9" t="s">
        <v>13</v>
      </c>
      <c r="F32" s="10" t="s">
        <v>13</v>
      </c>
      <c r="G32" s="11">
        <v>18</v>
      </c>
      <c r="H32" s="11">
        <v>1</v>
      </c>
      <c r="I32" s="12">
        <f t="shared" si="2"/>
        <v>18</v>
      </c>
      <c r="J32" s="11">
        <v>1</v>
      </c>
      <c r="K32" s="12" t="s">
        <v>13</v>
      </c>
      <c r="L32" s="9">
        <v>23423.5</v>
      </c>
      <c r="M32" s="11">
        <v>4014</v>
      </c>
      <c r="N32" s="13">
        <v>46129</v>
      </c>
      <c r="O32" s="39" t="s">
        <v>42</v>
      </c>
    </row>
    <row r="33" spans="1:15" s="1" customFormat="1" ht="24.9" customHeight="1">
      <c r="A33" s="7">
        <v>31</v>
      </c>
      <c r="B33" s="19">
        <v>17</v>
      </c>
      <c r="C33" s="15" t="s">
        <v>269</v>
      </c>
      <c r="D33" s="16">
        <v>85.199999999999989</v>
      </c>
      <c r="E33" s="16">
        <v>833.65</v>
      </c>
      <c r="F33" s="17">
        <f>(D33-E33)/E33</f>
        <v>-0.89779883644215208</v>
      </c>
      <c r="G33" s="18">
        <v>8</v>
      </c>
      <c r="H33" s="18">
        <v>1</v>
      </c>
      <c r="I33" s="19">
        <f t="shared" si="2"/>
        <v>8</v>
      </c>
      <c r="J33" s="18">
        <v>1</v>
      </c>
      <c r="K33" s="19">
        <v>3</v>
      </c>
      <c r="L33" s="16">
        <v>7893.8000000000011</v>
      </c>
      <c r="M33" s="18">
        <v>1064</v>
      </c>
      <c r="N33" s="20">
        <v>46150</v>
      </c>
      <c r="O33" s="40" t="s">
        <v>43</v>
      </c>
    </row>
    <row r="34" spans="1:15" s="1" customFormat="1" ht="24.9" customHeight="1">
      <c r="A34" s="7">
        <v>32</v>
      </c>
      <c r="B34" s="12">
        <v>23</v>
      </c>
      <c r="C34" s="8" t="s">
        <v>213</v>
      </c>
      <c r="D34" s="9">
        <v>69</v>
      </c>
      <c r="E34" s="9">
        <v>238</v>
      </c>
      <c r="F34" s="10">
        <f>(D34-E34)/E34</f>
        <v>-0.71008403361344541</v>
      </c>
      <c r="G34" s="11">
        <v>13</v>
      </c>
      <c r="H34" s="11">
        <v>1</v>
      </c>
      <c r="I34" s="12">
        <f t="shared" si="2"/>
        <v>13</v>
      </c>
      <c r="J34" s="11">
        <v>1</v>
      </c>
      <c r="K34" s="12">
        <v>8</v>
      </c>
      <c r="L34" s="9">
        <v>10811.83</v>
      </c>
      <c r="M34" s="11">
        <v>1776</v>
      </c>
      <c r="N34" s="13">
        <v>46115</v>
      </c>
      <c r="O34" s="39" t="s">
        <v>46</v>
      </c>
    </row>
    <row r="35" spans="1:15" s="1" customFormat="1" ht="24.9" customHeight="1">
      <c r="A35" s="7">
        <v>33</v>
      </c>
      <c r="B35" s="12">
        <v>20</v>
      </c>
      <c r="C35" s="8" t="s">
        <v>79</v>
      </c>
      <c r="D35" s="9">
        <v>68</v>
      </c>
      <c r="E35" s="9">
        <v>401.33</v>
      </c>
      <c r="F35" s="10">
        <f>(D35-E35)/E35</f>
        <v>-0.83056337677223235</v>
      </c>
      <c r="G35" s="11">
        <v>18</v>
      </c>
      <c r="H35" s="11">
        <v>1</v>
      </c>
      <c r="I35" s="12">
        <f t="shared" si="2"/>
        <v>18</v>
      </c>
      <c r="J35" s="11">
        <v>1</v>
      </c>
      <c r="K35" s="12">
        <v>19</v>
      </c>
      <c r="L35" s="9">
        <v>302145.46000000002</v>
      </c>
      <c r="M35" s="11">
        <v>54193</v>
      </c>
      <c r="N35" s="13">
        <v>46038</v>
      </c>
      <c r="O35" s="39" t="s">
        <v>42</v>
      </c>
    </row>
    <row r="36" spans="1:15" s="1" customFormat="1" ht="24.9" customHeight="1">
      <c r="A36" s="7">
        <v>34</v>
      </c>
      <c r="B36" s="12" t="s">
        <v>13</v>
      </c>
      <c r="C36" s="8" t="s">
        <v>197</v>
      </c>
      <c r="D36" s="9">
        <v>50.5</v>
      </c>
      <c r="E36" s="9" t="s">
        <v>13</v>
      </c>
      <c r="F36" s="10" t="s">
        <v>13</v>
      </c>
      <c r="G36" s="11">
        <v>7</v>
      </c>
      <c r="H36" s="11">
        <v>1</v>
      </c>
      <c r="I36" s="12">
        <f t="shared" si="2"/>
        <v>7</v>
      </c>
      <c r="J36" s="11">
        <v>1</v>
      </c>
      <c r="K36" s="12" t="s">
        <v>13</v>
      </c>
      <c r="L36" s="9">
        <v>3129.5300000000007</v>
      </c>
      <c r="M36" s="11">
        <v>450</v>
      </c>
      <c r="N36" s="13">
        <v>46104</v>
      </c>
      <c r="O36" s="39" t="s">
        <v>47</v>
      </c>
    </row>
    <row r="37" spans="1:15" ht="24.9" customHeight="1">
      <c r="A37" s="7">
        <v>35</v>
      </c>
      <c r="B37" s="12">
        <v>33</v>
      </c>
      <c r="C37" s="8" t="s">
        <v>196</v>
      </c>
      <c r="D37" s="9">
        <v>49</v>
      </c>
      <c r="E37" s="9">
        <v>42.85</v>
      </c>
      <c r="F37" s="10">
        <f>(D37-E37)/E37</f>
        <v>0.14352392065344222</v>
      </c>
      <c r="G37" s="11">
        <v>13</v>
      </c>
      <c r="H37" s="11">
        <v>2</v>
      </c>
      <c r="I37" s="12">
        <f t="shared" si="2"/>
        <v>6.5</v>
      </c>
      <c r="J37" s="11">
        <v>1</v>
      </c>
      <c r="K37" s="12" t="s">
        <v>13</v>
      </c>
      <c r="L37" s="9">
        <v>4474.25</v>
      </c>
      <c r="M37" s="11">
        <v>752</v>
      </c>
      <c r="N37" s="13">
        <v>46104</v>
      </c>
      <c r="O37" s="39" t="s">
        <v>47</v>
      </c>
    </row>
    <row r="38" spans="1:15" s="1" customFormat="1" ht="24.9" customHeight="1">
      <c r="A38" s="7">
        <v>36</v>
      </c>
      <c r="B38" s="12">
        <v>13</v>
      </c>
      <c r="C38" s="8" t="s">
        <v>285</v>
      </c>
      <c r="D38" s="9">
        <v>44.65</v>
      </c>
      <c r="E38" s="9">
        <v>1311.3</v>
      </c>
      <c r="F38" s="10">
        <f>(D38-E38)/E38</f>
        <v>-0.96594982078853042</v>
      </c>
      <c r="G38" s="11">
        <v>8</v>
      </c>
      <c r="H38" s="11">
        <v>1</v>
      </c>
      <c r="I38" s="12">
        <f t="shared" si="2"/>
        <v>8</v>
      </c>
      <c r="J38" s="11">
        <v>1</v>
      </c>
      <c r="K38" s="12" t="s">
        <v>13</v>
      </c>
      <c r="L38" s="9">
        <v>3973.14</v>
      </c>
      <c r="M38" s="11">
        <v>575</v>
      </c>
      <c r="N38" s="13">
        <v>46156</v>
      </c>
      <c r="O38" s="39" t="s">
        <v>279</v>
      </c>
    </row>
    <row r="39" spans="1:15" s="1" customFormat="1" ht="24.6" customHeight="1">
      <c r="A39" s="7">
        <v>37</v>
      </c>
      <c r="B39" s="12">
        <v>36</v>
      </c>
      <c r="C39" s="8" t="s">
        <v>192</v>
      </c>
      <c r="D39" s="9">
        <v>37</v>
      </c>
      <c r="E39" s="9">
        <v>16.95</v>
      </c>
      <c r="F39" s="10">
        <f>(D39-E39)/E39</f>
        <v>1.1828908554572273</v>
      </c>
      <c r="G39" s="11">
        <v>8</v>
      </c>
      <c r="H39" s="11">
        <v>1</v>
      </c>
      <c r="I39" s="12">
        <v>13.5</v>
      </c>
      <c r="J39" s="11">
        <v>1</v>
      </c>
      <c r="K39" s="12">
        <v>10</v>
      </c>
      <c r="L39" s="9">
        <v>31565.160000000003</v>
      </c>
      <c r="M39" s="11">
        <v>4299</v>
      </c>
      <c r="N39" s="13">
        <v>46104</v>
      </c>
      <c r="O39" s="39" t="s">
        <v>47</v>
      </c>
    </row>
    <row r="40" spans="1:15" s="1" customFormat="1" ht="24.9" customHeight="1">
      <c r="A40" s="7">
        <v>38</v>
      </c>
      <c r="B40" s="12">
        <v>31</v>
      </c>
      <c r="C40" s="8" t="s">
        <v>194</v>
      </c>
      <c r="D40" s="9">
        <v>34.950000000000003</v>
      </c>
      <c r="E40" s="9">
        <v>79.599999999999994</v>
      </c>
      <c r="F40" s="10">
        <f>(D40-E40)/E40</f>
        <v>-0.56092964824120595</v>
      </c>
      <c r="G40" s="11">
        <v>4</v>
      </c>
      <c r="H40" s="11">
        <v>2</v>
      </c>
      <c r="I40" s="12">
        <f>G40/H40</f>
        <v>2</v>
      </c>
      <c r="J40" s="11">
        <v>2</v>
      </c>
      <c r="K40" s="12" t="s">
        <v>13</v>
      </c>
      <c r="L40" s="9">
        <v>5546.2899999999981</v>
      </c>
      <c r="M40" s="11">
        <v>792</v>
      </c>
      <c r="N40" s="13">
        <v>46104</v>
      </c>
      <c r="O40" s="39" t="s">
        <v>47</v>
      </c>
    </row>
    <row r="41" spans="1:15" s="1" customFormat="1" ht="24.9" customHeight="1">
      <c r="A41" s="7">
        <v>39</v>
      </c>
      <c r="B41" s="12">
        <v>16</v>
      </c>
      <c r="C41" s="8" t="s">
        <v>280</v>
      </c>
      <c r="D41" s="9">
        <v>9.1</v>
      </c>
      <c r="E41" s="9">
        <v>1039.51</v>
      </c>
      <c r="F41" s="10">
        <f>(D41-E41)/E41</f>
        <v>-0.99124587546055365</v>
      </c>
      <c r="G41" s="11">
        <v>2</v>
      </c>
      <c r="H41" s="11">
        <v>1</v>
      </c>
      <c r="I41" s="12">
        <f>G41/H41</f>
        <v>2</v>
      </c>
      <c r="J41" s="11">
        <v>1</v>
      </c>
      <c r="K41" s="12" t="s">
        <v>13</v>
      </c>
      <c r="L41" s="9">
        <v>366286.85</v>
      </c>
      <c r="M41" s="11">
        <v>54877</v>
      </c>
      <c r="N41" s="13">
        <v>44693</v>
      </c>
      <c r="O41" s="39" t="s">
        <v>279</v>
      </c>
    </row>
    <row r="42" spans="1:15" s="1" customFormat="1" ht="24.9" customHeight="1">
      <c r="A42" s="7">
        <v>40</v>
      </c>
      <c r="B42" s="12" t="s">
        <v>13</v>
      </c>
      <c r="C42" s="8" t="s">
        <v>193</v>
      </c>
      <c r="D42" s="9">
        <v>8.9499999999999993</v>
      </c>
      <c r="E42" s="9" t="s">
        <v>13</v>
      </c>
      <c r="F42" s="10" t="s">
        <v>13</v>
      </c>
      <c r="G42" s="11">
        <v>1</v>
      </c>
      <c r="H42" s="11">
        <v>1</v>
      </c>
      <c r="I42" s="12">
        <f>G42/H42</f>
        <v>1</v>
      </c>
      <c r="J42" s="11">
        <v>1</v>
      </c>
      <c r="K42" s="12" t="s">
        <v>13</v>
      </c>
      <c r="L42" s="9">
        <v>9283.4499999999989</v>
      </c>
      <c r="M42" s="11">
        <v>1209</v>
      </c>
      <c r="N42" s="13">
        <v>46104</v>
      </c>
      <c r="O42" s="39" t="s">
        <v>47</v>
      </c>
    </row>
    <row r="43" spans="1:15" ht="24.75" customHeight="1">
      <c r="A43" s="59"/>
      <c r="B43" s="60" t="s">
        <v>14</v>
      </c>
      <c r="C43" s="61" t="s">
        <v>289</v>
      </c>
      <c r="D43" s="27">
        <f>SUBTOTAL(109,Table13245678910111213141516171819202122[Pajamos 
(GBO)])</f>
        <v>147104.35000000006</v>
      </c>
      <c r="E43" s="27" t="s">
        <v>288</v>
      </c>
      <c r="F43" s="62">
        <f>(D43-E43)/E43</f>
        <v>-0.28681174035091089</v>
      </c>
      <c r="G43" s="34">
        <f>SUBTOTAL(109,Table13245678910111213141516171819202122[Žiūrovų sk. 
(ADM)])</f>
        <v>18966</v>
      </c>
      <c r="H43" s="63"/>
      <c r="I43" s="59"/>
      <c r="J43" s="63"/>
      <c r="K43" s="64"/>
      <c r="L43" s="65"/>
      <c r="M43" s="63"/>
      <c r="N43" s="66"/>
      <c r="O43" s="67"/>
    </row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E4168-E4BE-48A3-9B4A-7E99D9473964}">
  <dimension ref="A1:XFC309"/>
  <sheetViews>
    <sheetView topLeftCell="A13" zoomScale="60" zoomScaleNormal="60" workbookViewId="0">
      <selection activeCell="O39" sqref="O39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5" s="58" customFormat="1" ht="40.5" customHeight="1" thickBot="1">
      <c r="A1" s="98" t="s">
        <v>286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5.2" customHeight="1">
      <c r="A3" s="7">
        <v>1</v>
      </c>
      <c r="B3" s="12">
        <v>1</v>
      </c>
      <c r="C3" s="8" t="s">
        <v>263</v>
      </c>
      <c r="D3" s="9">
        <v>73331.289999999994</v>
      </c>
      <c r="E3" s="9">
        <v>182719.57</v>
      </c>
      <c r="F3" s="10">
        <f>(D3-E3)/E3</f>
        <v>-0.59866756472774108</v>
      </c>
      <c r="G3" s="11">
        <v>8055</v>
      </c>
      <c r="H3" s="11">
        <v>164</v>
      </c>
      <c r="I3" s="12">
        <f t="shared" ref="I3:I9" si="0">G3/H3</f>
        <v>49.115853658536587</v>
      </c>
      <c r="J3" s="11">
        <v>19</v>
      </c>
      <c r="K3" s="12">
        <v>3</v>
      </c>
      <c r="L3" s="9">
        <v>711902.32</v>
      </c>
      <c r="M3" s="11">
        <v>82547</v>
      </c>
      <c r="N3" s="13">
        <v>46143</v>
      </c>
      <c r="O3" s="39" t="s">
        <v>37</v>
      </c>
    </row>
    <row r="4" spans="1:15" s="2" customFormat="1" ht="25.2" customHeight="1">
      <c r="A4" s="7">
        <v>2</v>
      </c>
      <c r="B4" s="12">
        <v>2</v>
      </c>
      <c r="C4" s="8" t="s">
        <v>251</v>
      </c>
      <c r="D4" s="9">
        <v>42092.36</v>
      </c>
      <c r="E4" s="9">
        <v>63536.97</v>
      </c>
      <c r="F4" s="10">
        <f>(D4-E4)/E4</f>
        <v>-0.33751389151859146</v>
      </c>
      <c r="G4" s="11">
        <v>5401</v>
      </c>
      <c r="H4" s="11">
        <v>108</v>
      </c>
      <c r="I4" s="12">
        <f t="shared" si="0"/>
        <v>50.00925925925926</v>
      </c>
      <c r="J4" s="11">
        <v>17</v>
      </c>
      <c r="K4" s="12">
        <v>4</v>
      </c>
      <c r="L4" s="9">
        <v>429947.44</v>
      </c>
      <c r="M4" s="11">
        <v>53272</v>
      </c>
      <c r="N4" s="13">
        <v>46136</v>
      </c>
      <c r="O4" s="39" t="s">
        <v>207</v>
      </c>
    </row>
    <row r="5" spans="1:15" s="2" customFormat="1" ht="25.2" customHeight="1">
      <c r="A5" s="7">
        <v>3</v>
      </c>
      <c r="B5" s="12">
        <v>4</v>
      </c>
      <c r="C5" s="8" t="s">
        <v>216</v>
      </c>
      <c r="D5" s="9">
        <v>16852.14</v>
      </c>
      <c r="E5" s="9">
        <v>29323.27</v>
      </c>
      <c r="F5" s="10">
        <f>(D5-E5)/E5</f>
        <v>-0.42529806532491093</v>
      </c>
      <c r="G5" s="11">
        <v>2756</v>
      </c>
      <c r="H5" s="11">
        <v>88</v>
      </c>
      <c r="I5" s="12">
        <f t="shared" si="0"/>
        <v>31.318181818181817</v>
      </c>
      <c r="J5" s="11">
        <v>16</v>
      </c>
      <c r="K5" s="12">
        <v>8</v>
      </c>
      <c r="L5" s="9">
        <v>472495.17</v>
      </c>
      <c r="M5" s="11">
        <v>75418</v>
      </c>
      <c r="N5" s="13">
        <v>46113</v>
      </c>
      <c r="O5" s="39" t="s">
        <v>207</v>
      </c>
    </row>
    <row r="6" spans="1:15" s="2" customFormat="1" ht="25.2" customHeight="1">
      <c r="A6" s="7">
        <v>4</v>
      </c>
      <c r="B6" s="12">
        <v>3</v>
      </c>
      <c r="C6" s="8" t="s">
        <v>262</v>
      </c>
      <c r="D6" s="9">
        <v>15041.76</v>
      </c>
      <c r="E6" s="9">
        <v>34202.120000000003</v>
      </c>
      <c r="F6" s="10">
        <f>(D6-E6)/E6</f>
        <v>-0.56020971799408925</v>
      </c>
      <c r="G6" s="11">
        <v>2446</v>
      </c>
      <c r="H6" s="11">
        <v>90</v>
      </c>
      <c r="I6" s="12">
        <f t="shared" si="0"/>
        <v>27.177777777777777</v>
      </c>
      <c r="J6" s="11">
        <v>16</v>
      </c>
      <c r="K6" s="12">
        <v>2</v>
      </c>
      <c r="L6" s="9">
        <v>57166.62</v>
      </c>
      <c r="M6" s="11">
        <v>9323</v>
      </c>
      <c r="N6" s="13">
        <v>46150</v>
      </c>
      <c r="O6" s="39" t="s">
        <v>39</v>
      </c>
    </row>
    <row r="7" spans="1:15" s="21" customFormat="1" ht="25.2" customHeight="1">
      <c r="A7" s="7">
        <v>5</v>
      </c>
      <c r="B7" s="19" t="s">
        <v>49</v>
      </c>
      <c r="C7" s="15" t="s">
        <v>283</v>
      </c>
      <c r="D7" s="16">
        <v>11317.78</v>
      </c>
      <c r="E7" s="16" t="s">
        <v>13</v>
      </c>
      <c r="F7" s="17" t="s">
        <v>13</v>
      </c>
      <c r="G7" s="18">
        <v>1464</v>
      </c>
      <c r="H7" s="18">
        <v>70</v>
      </c>
      <c r="I7" s="19">
        <f t="shared" si="0"/>
        <v>20.914285714285715</v>
      </c>
      <c r="J7" s="18">
        <v>13</v>
      </c>
      <c r="K7" s="19">
        <v>1</v>
      </c>
      <c r="L7" s="16">
        <v>12714.65</v>
      </c>
      <c r="M7" s="18">
        <v>1665</v>
      </c>
      <c r="N7" s="20">
        <v>46157</v>
      </c>
      <c r="O7" s="40" t="s">
        <v>42</v>
      </c>
    </row>
    <row r="8" spans="1:15" s="2" customFormat="1" ht="25.2" customHeight="1">
      <c r="A8" s="7">
        <v>6</v>
      </c>
      <c r="B8" s="12">
        <v>5</v>
      </c>
      <c r="C8" s="8" t="s">
        <v>267</v>
      </c>
      <c r="D8" s="9">
        <v>8145.61</v>
      </c>
      <c r="E8" s="9">
        <v>25671.56</v>
      </c>
      <c r="F8" s="10">
        <f>(D8-E8)/E8</f>
        <v>-0.68269906464585717</v>
      </c>
      <c r="G8" s="11">
        <v>1095</v>
      </c>
      <c r="H8" s="11">
        <v>51</v>
      </c>
      <c r="I8" s="12">
        <f t="shared" si="0"/>
        <v>21.470588235294116</v>
      </c>
      <c r="J8" s="11">
        <v>10</v>
      </c>
      <c r="K8" s="12">
        <v>2</v>
      </c>
      <c r="L8" s="9">
        <v>45682.76</v>
      </c>
      <c r="M8" s="11">
        <v>6014</v>
      </c>
      <c r="N8" s="13">
        <v>46150</v>
      </c>
      <c r="O8" s="39" t="s">
        <v>55</v>
      </c>
    </row>
    <row r="9" spans="1:15" s="21" customFormat="1" ht="25.2" customHeight="1">
      <c r="A9" s="7">
        <v>7</v>
      </c>
      <c r="B9" s="12">
        <v>6</v>
      </c>
      <c r="C9" s="8" t="s">
        <v>184</v>
      </c>
      <c r="D9" s="9">
        <v>6678.85</v>
      </c>
      <c r="E9" s="9">
        <v>17025.099999999999</v>
      </c>
      <c r="F9" s="10">
        <f>(D9-E9)/E9</f>
        <v>-0.60770568161126803</v>
      </c>
      <c r="G9" s="11">
        <v>855</v>
      </c>
      <c r="H9" s="11">
        <v>31</v>
      </c>
      <c r="I9" s="12">
        <f t="shared" si="0"/>
        <v>27.580645161290324</v>
      </c>
      <c r="J9" s="11">
        <v>8</v>
      </c>
      <c r="K9" s="12">
        <v>9</v>
      </c>
      <c r="L9" s="9">
        <v>678452.07</v>
      </c>
      <c r="M9" s="11">
        <v>76371</v>
      </c>
      <c r="N9" s="13">
        <v>46101</v>
      </c>
      <c r="O9" s="39" t="s">
        <v>39</v>
      </c>
    </row>
    <row r="10" spans="1:15" s="21" customFormat="1" ht="25.2" customHeight="1">
      <c r="A10" s="7">
        <v>8</v>
      </c>
      <c r="B10" s="12" t="s">
        <v>49</v>
      </c>
      <c r="C10" s="8" t="s">
        <v>284</v>
      </c>
      <c r="D10" s="9">
        <v>5989</v>
      </c>
      <c r="E10" s="9" t="s">
        <v>13</v>
      </c>
      <c r="F10" s="10" t="s">
        <v>13</v>
      </c>
      <c r="G10" s="11">
        <v>1095</v>
      </c>
      <c r="H10" s="12" t="s">
        <v>13</v>
      </c>
      <c r="I10" s="12" t="s">
        <v>13</v>
      </c>
      <c r="J10" s="11">
        <v>13</v>
      </c>
      <c r="K10" s="12">
        <v>1</v>
      </c>
      <c r="L10" s="9">
        <v>5989</v>
      </c>
      <c r="M10" s="11">
        <v>1095</v>
      </c>
      <c r="N10" s="13">
        <v>46157</v>
      </c>
      <c r="O10" s="39" t="s">
        <v>44</v>
      </c>
    </row>
    <row r="11" spans="1:15" s="2" customFormat="1" ht="25.2" customHeight="1">
      <c r="A11" s="7">
        <v>9</v>
      </c>
      <c r="B11" s="12">
        <v>8</v>
      </c>
      <c r="C11" s="8" t="s">
        <v>248</v>
      </c>
      <c r="D11" s="9">
        <v>4679</v>
      </c>
      <c r="E11" s="9">
        <v>10992</v>
      </c>
      <c r="F11" s="10">
        <f>(D11-E11)/E11</f>
        <v>-0.57432678311499274</v>
      </c>
      <c r="G11" s="11">
        <v>818</v>
      </c>
      <c r="H11" s="11" t="s">
        <v>13</v>
      </c>
      <c r="I11" s="12" t="s">
        <v>13</v>
      </c>
      <c r="J11" s="11">
        <v>12</v>
      </c>
      <c r="K11" s="12">
        <v>4</v>
      </c>
      <c r="L11" s="9">
        <v>66352</v>
      </c>
      <c r="M11" s="11">
        <v>11810</v>
      </c>
      <c r="N11" s="13">
        <v>46136</v>
      </c>
      <c r="O11" s="39" t="s">
        <v>44</v>
      </c>
    </row>
    <row r="12" spans="1:15" s="21" customFormat="1" ht="25.2" customHeight="1">
      <c r="A12" s="7">
        <v>10</v>
      </c>
      <c r="B12" s="19" t="s">
        <v>49</v>
      </c>
      <c r="C12" s="15" t="s">
        <v>278</v>
      </c>
      <c r="D12" s="16">
        <v>4632.59</v>
      </c>
      <c r="E12" s="16" t="s">
        <v>13</v>
      </c>
      <c r="F12" s="17" t="s">
        <v>13</v>
      </c>
      <c r="G12" s="18">
        <v>631</v>
      </c>
      <c r="H12" s="18">
        <v>62</v>
      </c>
      <c r="I12" s="19">
        <f t="shared" ref="I12:I21" si="1">G12/H12</f>
        <v>10.17741935483871</v>
      </c>
      <c r="J12" s="18">
        <v>13</v>
      </c>
      <c r="K12" s="19">
        <v>1</v>
      </c>
      <c r="L12" s="16">
        <v>4632.59</v>
      </c>
      <c r="M12" s="18">
        <v>631</v>
      </c>
      <c r="N12" s="20">
        <v>46157</v>
      </c>
      <c r="O12" s="40" t="s">
        <v>94</v>
      </c>
    </row>
    <row r="13" spans="1:15" s="2" customFormat="1" ht="25.2" customHeight="1">
      <c r="A13" s="7">
        <v>11</v>
      </c>
      <c r="B13" s="12">
        <v>7</v>
      </c>
      <c r="C13" s="8" t="s">
        <v>261</v>
      </c>
      <c r="D13" s="9">
        <v>4507.0600000000004</v>
      </c>
      <c r="E13" s="9">
        <v>12428.83</v>
      </c>
      <c r="F13" s="10">
        <f>(D13-E13)/E13</f>
        <v>-0.63737053286592538</v>
      </c>
      <c r="G13" s="11">
        <v>613</v>
      </c>
      <c r="H13" s="11">
        <v>17</v>
      </c>
      <c r="I13" s="12">
        <f t="shared" si="1"/>
        <v>36.058823529411768</v>
      </c>
      <c r="J13" s="11">
        <v>6</v>
      </c>
      <c r="K13" s="12">
        <v>3</v>
      </c>
      <c r="L13" s="9">
        <v>42226.84</v>
      </c>
      <c r="M13" s="11">
        <v>5651</v>
      </c>
      <c r="N13" s="13">
        <v>46143</v>
      </c>
      <c r="O13" s="39" t="s">
        <v>42</v>
      </c>
    </row>
    <row r="14" spans="1:15" s="2" customFormat="1" ht="25.2" customHeight="1">
      <c r="A14" s="7">
        <v>12</v>
      </c>
      <c r="B14" s="12">
        <v>9</v>
      </c>
      <c r="C14" s="8" t="s">
        <v>170</v>
      </c>
      <c r="D14" s="9">
        <v>3936.27</v>
      </c>
      <c r="E14" s="9">
        <v>8892.2000000000007</v>
      </c>
      <c r="F14" s="10">
        <f>(D14-E14)/E14</f>
        <v>-0.55733451789208521</v>
      </c>
      <c r="G14" s="11">
        <v>627</v>
      </c>
      <c r="H14" s="11">
        <v>26</v>
      </c>
      <c r="I14" s="12">
        <f t="shared" si="1"/>
        <v>24.115384615384617</v>
      </c>
      <c r="J14" s="11">
        <v>8</v>
      </c>
      <c r="K14" s="12">
        <v>11</v>
      </c>
      <c r="L14" s="9">
        <v>384794.85</v>
      </c>
      <c r="M14" s="11">
        <v>63978</v>
      </c>
      <c r="N14" s="13">
        <v>46087</v>
      </c>
      <c r="O14" s="39" t="s">
        <v>37</v>
      </c>
    </row>
    <row r="15" spans="1:15" s="21" customFormat="1" ht="25.2" customHeight="1">
      <c r="A15" s="7">
        <v>13</v>
      </c>
      <c r="B15" s="12" t="s">
        <v>13</v>
      </c>
      <c r="C15" s="8" t="s">
        <v>285</v>
      </c>
      <c r="D15" s="9">
        <v>1311.3</v>
      </c>
      <c r="E15" s="9" t="s">
        <v>13</v>
      </c>
      <c r="F15" s="10" t="s">
        <v>13</v>
      </c>
      <c r="G15" s="11">
        <v>168</v>
      </c>
      <c r="H15" s="11">
        <v>15</v>
      </c>
      <c r="I15" s="12">
        <f t="shared" si="1"/>
        <v>11.2</v>
      </c>
      <c r="J15" s="11">
        <v>12</v>
      </c>
      <c r="K15" s="12" t="s">
        <v>13</v>
      </c>
      <c r="L15" s="9">
        <v>3213.47</v>
      </c>
      <c r="M15" s="11">
        <v>426</v>
      </c>
      <c r="N15" s="13">
        <v>46156</v>
      </c>
      <c r="O15" s="39" t="s">
        <v>279</v>
      </c>
    </row>
    <row r="16" spans="1:15" s="2" customFormat="1" ht="25.2" customHeight="1">
      <c r="A16" s="7">
        <v>14</v>
      </c>
      <c r="B16" s="12">
        <v>10</v>
      </c>
      <c r="C16" s="8" t="s">
        <v>257</v>
      </c>
      <c r="D16" s="9">
        <v>1242.3599999999999</v>
      </c>
      <c r="E16" s="9">
        <v>5151.32</v>
      </c>
      <c r="F16" s="10">
        <f>(D16-E16)/E16</f>
        <v>-0.75882686379413433</v>
      </c>
      <c r="G16" s="11">
        <v>274</v>
      </c>
      <c r="H16" s="11">
        <v>15</v>
      </c>
      <c r="I16" s="12">
        <f t="shared" si="1"/>
        <v>18.266666666666666</v>
      </c>
      <c r="J16" s="11">
        <v>8</v>
      </c>
      <c r="K16" s="12">
        <v>3</v>
      </c>
      <c r="L16" s="9">
        <v>15944.22</v>
      </c>
      <c r="M16" s="11">
        <v>2993</v>
      </c>
      <c r="N16" s="13">
        <v>46143</v>
      </c>
      <c r="O16" s="39" t="s">
        <v>46</v>
      </c>
    </row>
    <row r="17" spans="1:15" s="21" customFormat="1" ht="25.2" customHeight="1">
      <c r="A17" s="7">
        <v>15</v>
      </c>
      <c r="B17" s="12">
        <v>12</v>
      </c>
      <c r="C17" s="8" t="s">
        <v>235</v>
      </c>
      <c r="D17" s="9">
        <v>1058.5</v>
      </c>
      <c r="E17" s="9">
        <v>2896.32</v>
      </c>
      <c r="F17" s="10">
        <f>(D17-E17)/E17</f>
        <v>-0.63453623908960333</v>
      </c>
      <c r="G17" s="11">
        <v>128</v>
      </c>
      <c r="H17" s="11">
        <v>9</v>
      </c>
      <c r="I17" s="12">
        <f t="shared" si="1"/>
        <v>14.222222222222221</v>
      </c>
      <c r="J17" s="11">
        <v>4</v>
      </c>
      <c r="K17" s="12">
        <v>6</v>
      </c>
      <c r="L17" s="9">
        <v>192988.12</v>
      </c>
      <c r="M17" s="11">
        <v>26695</v>
      </c>
      <c r="N17" s="13">
        <v>46122</v>
      </c>
      <c r="O17" s="39" t="s">
        <v>47</v>
      </c>
    </row>
    <row r="18" spans="1:15" ht="25.2" customHeight="1">
      <c r="A18" s="7">
        <v>16</v>
      </c>
      <c r="B18" s="12" t="s">
        <v>13</v>
      </c>
      <c r="C18" s="8" t="s">
        <v>280</v>
      </c>
      <c r="D18" s="9">
        <v>1039.51</v>
      </c>
      <c r="E18" s="9" t="s">
        <v>13</v>
      </c>
      <c r="F18" s="10" t="s">
        <v>13</v>
      </c>
      <c r="G18" s="11">
        <v>130</v>
      </c>
      <c r="H18" s="11">
        <v>11</v>
      </c>
      <c r="I18" s="12">
        <f t="shared" si="1"/>
        <v>11.818181818181818</v>
      </c>
      <c r="J18" s="11">
        <v>10</v>
      </c>
      <c r="K18" s="12" t="s">
        <v>13</v>
      </c>
      <c r="L18" s="9">
        <v>365633.75</v>
      </c>
      <c r="M18" s="11">
        <v>54773</v>
      </c>
      <c r="N18" s="13">
        <v>44693</v>
      </c>
      <c r="O18" s="39" t="s">
        <v>279</v>
      </c>
    </row>
    <row r="19" spans="1:15" s="1" customFormat="1" ht="25.2" customHeight="1">
      <c r="A19" s="7">
        <v>17</v>
      </c>
      <c r="B19" s="12">
        <v>11</v>
      </c>
      <c r="C19" s="8" t="s">
        <v>269</v>
      </c>
      <c r="D19" s="9">
        <v>833.65</v>
      </c>
      <c r="E19" s="9">
        <v>4457.09</v>
      </c>
      <c r="F19" s="10">
        <f>(D19-E19)/E19</f>
        <v>-0.812960922934022</v>
      </c>
      <c r="G19" s="11">
        <v>94</v>
      </c>
      <c r="H19" s="11">
        <v>6</v>
      </c>
      <c r="I19" s="12">
        <f t="shared" si="1"/>
        <v>15.666666666666666</v>
      </c>
      <c r="J19" s="11">
        <v>3</v>
      </c>
      <c r="K19" s="12">
        <v>2</v>
      </c>
      <c r="L19" s="9">
        <v>7089.4000000000005</v>
      </c>
      <c r="M19" s="11">
        <v>928</v>
      </c>
      <c r="N19" s="13">
        <v>46150</v>
      </c>
      <c r="O19" s="39" t="s">
        <v>43</v>
      </c>
    </row>
    <row r="20" spans="1:15" ht="25.2" customHeight="1">
      <c r="A20" s="7">
        <v>18</v>
      </c>
      <c r="B20" s="19" t="s">
        <v>49</v>
      </c>
      <c r="C20" s="15" t="s">
        <v>271</v>
      </c>
      <c r="D20" s="16">
        <v>501.7</v>
      </c>
      <c r="E20" s="16" t="s">
        <v>13</v>
      </c>
      <c r="F20" s="17" t="s">
        <v>13</v>
      </c>
      <c r="G20" s="18">
        <v>90</v>
      </c>
      <c r="H20" s="18">
        <v>14</v>
      </c>
      <c r="I20" s="19">
        <f t="shared" si="1"/>
        <v>6.4285714285714288</v>
      </c>
      <c r="J20" s="18">
        <v>9</v>
      </c>
      <c r="K20" s="19">
        <v>1</v>
      </c>
      <c r="L20" s="16">
        <v>1429.7</v>
      </c>
      <c r="M20" s="18">
        <v>148</v>
      </c>
      <c r="N20" s="20">
        <v>46157</v>
      </c>
      <c r="O20" s="40" t="s">
        <v>272</v>
      </c>
    </row>
    <row r="21" spans="1:15" s="1" customFormat="1" ht="25.2" customHeight="1">
      <c r="A21" s="7">
        <v>19</v>
      </c>
      <c r="B21" s="12">
        <v>14</v>
      </c>
      <c r="C21" s="8" t="s">
        <v>239</v>
      </c>
      <c r="D21" s="9">
        <v>495</v>
      </c>
      <c r="E21" s="9">
        <v>2730.64</v>
      </c>
      <c r="F21" s="10">
        <f>(D21-E21)/E21</f>
        <v>-0.81872381566226227</v>
      </c>
      <c r="G21" s="11">
        <v>62</v>
      </c>
      <c r="H21" s="11">
        <v>3</v>
      </c>
      <c r="I21" s="12">
        <f t="shared" si="1"/>
        <v>20.666666666666668</v>
      </c>
      <c r="J21" s="11">
        <v>2</v>
      </c>
      <c r="K21" s="12">
        <v>5</v>
      </c>
      <c r="L21" s="9">
        <v>92590.82</v>
      </c>
      <c r="M21" s="11">
        <v>12268</v>
      </c>
      <c r="N21" s="13">
        <v>46129</v>
      </c>
      <c r="O21" s="39" t="s">
        <v>55</v>
      </c>
    </row>
    <row r="22" spans="1:15" ht="25.2" customHeight="1">
      <c r="A22" s="7">
        <v>20</v>
      </c>
      <c r="B22" s="19">
        <v>15</v>
      </c>
      <c r="C22" s="15" t="s">
        <v>256</v>
      </c>
      <c r="D22" s="16">
        <v>422</v>
      </c>
      <c r="E22" s="16">
        <v>1115</v>
      </c>
      <c r="F22" s="17">
        <f>(D22-E22)/E22</f>
        <v>-0.62152466367713</v>
      </c>
      <c r="G22" s="18">
        <v>71</v>
      </c>
      <c r="H22" s="18" t="s">
        <v>13</v>
      </c>
      <c r="I22" s="19" t="s">
        <v>13</v>
      </c>
      <c r="J22" s="18">
        <v>1</v>
      </c>
      <c r="K22" s="19">
        <v>3</v>
      </c>
      <c r="L22" s="16">
        <v>8270</v>
      </c>
      <c r="M22" s="18">
        <v>1206</v>
      </c>
      <c r="N22" s="20">
        <v>46143</v>
      </c>
      <c r="O22" s="40" t="s">
        <v>44</v>
      </c>
    </row>
    <row r="23" spans="1:15" s="1" customFormat="1" ht="25.2" customHeight="1">
      <c r="A23" s="7">
        <v>21</v>
      </c>
      <c r="B23" s="19" t="s">
        <v>13</v>
      </c>
      <c r="C23" s="15" t="s">
        <v>79</v>
      </c>
      <c r="D23" s="16">
        <v>401.33</v>
      </c>
      <c r="E23" s="16" t="s">
        <v>13</v>
      </c>
      <c r="F23" s="17" t="s">
        <v>13</v>
      </c>
      <c r="G23" s="18">
        <v>97</v>
      </c>
      <c r="H23" s="18">
        <v>1</v>
      </c>
      <c r="I23" s="19">
        <v>36</v>
      </c>
      <c r="J23" s="18">
        <v>1</v>
      </c>
      <c r="K23" s="19">
        <v>18</v>
      </c>
      <c r="L23" s="16">
        <v>301813.46000000002</v>
      </c>
      <c r="M23" s="18">
        <v>54105</v>
      </c>
      <c r="N23" s="20">
        <v>46038</v>
      </c>
      <c r="O23" s="40" t="s">
        <v>42</v>
      </c>
    </row>
    <row r="24" spans="1:15" s="1" customFormat="1" ht="25.2" customHeight="1">
      <c r="A24" s="7">
        <v>22</v>
      </c>
      <c r="B24" s="12" t="s">
        <v>13</v>
      </c>
      <c r="C24" s="8" t="s">
        <v>276</v>
      </c>
      <c r="D24" s="9">
        <v>391.22</v>
      </c>
      <c r="E24" s="9" t="s">
        <v>13</v>
      </c>
      <c r="F24" s="10" t="s">
        <v>13</v>
      </c>
      <c r="G24" s="11">
        <v>48</v>
      </c>
      <c r="H24" s="11">
        <v>1</v>
      </c>
      <c r="I24" s="12">
        <f t="shared" ref="I24:I30" si="2">G24/H24</f>
        <v>48</v>
      </c>
      <c r="J24" s="11">
        <v>1</v>
      </c>
      <c r="K24" s="12" t="s">
        <v>13</v>
      </c>
      <c r="L24" s="9">
        <v>5632.32</v>
      </c>
      <c r="M24" s="11">
        <v>1145</v>
      </c>
      <c r="N24" s="13">
        <v>43615</v>
      </c>
      <c r="O24" s="39" t="s">
        <v>47</v>
      </c>
    </row>
    <row r="25" spans="1:15" ht="25.2" customHeight="1">
      <c r="A25" s="7">
        <v>23</v>
      </c>
      <c r="B25" s="12">
        <v>24</v>
      </c>
      <c r="C25" s="8" t="s">
        <v>29</v>
      </c>
      <c r="D25" s="9">
        <v>281</v>
      </c>
      <c r="E25" s="9">
        <v>291</v>
      </c>
      <c r="F25" s="10">
        <f>(D25-E25)/E25</f>
        <v>-3.4364261168384883E-2</v>
      </c>
      <c r="G25" s="11">
        <v>47</v>
      </c>
      <c r="H25" s="11">
        <v>1</v>
      </c>
      <c r="I25" s="12">
        <f t="shared" si="2"/>
        <v>47</v>
      </c>
      <c r="J25" s="11">
        <v>1</v>
      </c>
      <c r="K25" s="12" t="s">
        <v>13</v>
      </c>
      <c r="L25" s="9">
        <v>32784.129999999997</v>
      </c>
      <c r="M25" s="11">
        <v>5754</v>
      </c>
      <c r="N25" s="13">
        <v>46024</v>
      </c>
      <c r="O25" s="39" t="s">
        <v>46</v>
      </c>
    </row>
    <row r="26" spans="1:15" s="1" customFormat="1" ht="25.2" customHeight="1">
      <c r="A26" s="7">
        <v>24</v>
      </c>
      <c r="B26" s="12">
        <v>22</v>
      </c>
      <c r="C26" s="8" t="s">
        <v>213</v>
      </c>
      <c r="D26" s="9">
        <v>238</v>
      </c>
      <c r="E26" s="9">
        <v>441.5</v>
      </c>
      <c r="F26" s="10">
        <f>(D26-E26)/E26</f>
        <v>-0.46092865232163083</v>
      </c>
      <c r="G26" s="11">
        <v>38</v>
      </c>
      <c r="H26" s="11">
        <v>1</v>
      </c>
      <c r="I26" s="12">
        <f t="shared" si="2"/>
        <v>38</v>
      </c>
      <c r="J26" s="11">
        <v>1</v>
      </c>
      <c r="K26" s="12">
        <v>7</v>
      </c>
      <c r="L26" s="9">
        <v>10556.83</v>
      </c>
      <c r="M26" s="11">
        <v>1733</v>
      </c>
      <c r="N26" s="13">
        <v>46115</v>
      </c>
      <c r="O26" s="39" t="s">
        <v>46</v>
      </c>
    </row>
    <row r="27" spans="1:15" s="1" customFormat="1" ht="25.2" customHeight="1">
      <c r="A27" s="7">
        <v>25</v>
      </c>
      <c r="B27" s="12">
        <v>21</v>
      </c>
      <c r="C27" s="8" t="s">
        <v>243</v>
      </c>
      <c r="D27" s="9">
        <v>213.4</v>
      </c>
      <c r="E27" s="9">
        <v>458.45</v>
      </c>
      <c r="F27" s="10">
        <v>0.73100381194409125</v>
      </c>
      <c r="G27" s="11">
        <v>34</v>
      </c>
      <c r="H27" s="11">
        <v>5</v>
      </c>
      <c r="I27" s="12">
        <f t="shared" si="2"/>
        <v>6.8</v>
      </c>
      <c r="J27" s="11">
        <v>3</v>
      </c>
      <c r="K27" s="12">
        <v>5</v>
      </c>
      <c r="L27" s="9">
        <v>3295.2099999999996</v>
      </c>
      <c r="M27" s="11">
        <v>575</v>
      </c>
      <c r="N27" s="13">
        <v>46129</v>
      </c>
      <c r="O27" s="39" t="s">
        <v>43</v>
      </c>
    </row>
    <row r="28" spans="1:15" ht="25.2" customHeight="1">
      <c r="A28" s="7">
        <v>26</v>
      </c>
      <c r="B28" s="12">
        <v>19</v>
      </c>
      <c r="C28" s="8" t="s">
        <v>266</v>
      </c>
      <c r="D28" s="9">
        <v>190.93</v>
      </c>
      <c r="E28" s="9">
        <v>817.85</v>
      </c>
      <c r="F28" s="10">
        <f>(D28-E28)/E28</f>
        <v>-0.7665464327199365</v>
      </c>
      <c r="G28" s="11">
        <v>59</v>
      </c>
      <c r="H28" s="11">
        <v>8</v>
      </c>
      <c r="I28" s="12">
        <f t="shared" si="2"/>
        <v>7.375</v>
      </c>
      <c r="J28" s="11">
        <v>5</v>
      </c>
      <c r="K28" s="12">
        <v>2</v>
      </c>
      <c r="L28" s="9">
        <v>1068.05</v>
      </c>
      <c r="M28" s="11">
        <v>222</v>
      </c>
      <c r="N28" s="13">
        <v>46150</v>
      </c>
      <c r="O28" s="39" t="s">
        <v>86</v>
      </c>
    </row>
    <row r="29" spans="1:15" s="1" customFormat="1" ht="25.2" customHeight="1">
      <c r="A29" s="7">
        <v>27</v>
      </c>
      <c r="B29" s="19" t="s">
        <v>13</v>
      </c>
      <c r="C29" s="15" t="s">
        <v>281</v>
      </c>
      <c r="D29" s="16">
        <v>181.5</v>
      </c>
      <c r="E29" s="16" t="s">
        <v>13</v>
      </c>
      <c r="F29" s="17" t="s">
        <v>13</v>
      </c>
      <c r="G29" s="18">
        <v>30</v>
      </c>
      <c r="H29" s="18">
        <v>1</v>
      </c>
      <c r="I29" s="19">
        <f t="shared" si="2"/>
        <v>30</v>
      </c>
      <c r="J29" s="18">
        <v>1</v>
      </c>
      <c r="K29" s="19" t="s">
        <v>13</v>
      </c>
      <c r="L29" s="16">
        <v>18816.25</v>
      </c>
      <c r="M29" s="18">
        <v>2790</v>
      </c>
      <c r="N29" s="20">
        <v>46024</v>
      </c>
      <c r="O29" s="40" t="s">
        <v>37</v>
      </c>
    </row>
    <row r="30" spans="1:15" s="1" customFormat="1" ht="25.2" customHeight="1">
      <c r="A30" s="7">
        <v>28</v>
      </c>
      <c r="B30" s="12" t="s">
        <v>13</v>
      </c>
      <c r="C30" s="8" t="s">
        <v>230</v>
      </c>
      <c r="D30" s="9">
        <v>180.09</v>
      </c>
      <c r="E30" s="9">
        <v>206.45</v>
      </c>
      <c r="F30" s="10">
        <f>(D30-E30)/E30</f>
        <v>-0.12768224751755866</v>
      </c>
      <c r="G30" s="11">
        <v>28</v>
      </c>
      <c r="H30" s="11">
        <v>2</v>
      </c>
      <c r="I30" s="12">
        <f t="shared" si="2"/>
        <v>14</v>
      </c>
      <c r="J30" s="11">
        <v>2</v>
      </c>
      <c r="K30" s="12" t="s">
        <v>13</v>
      </c>
      <c r="L30" s="9">
        <v>14438</v>
      </c>
      <c r="M30" s="11">
        <v>2452</v>
      </c>
      <c r="N30" s="13">
        <v>46122</v>
      </c>
      <c r="O30" s="39" t="s">
        <v>51</v>
      </c>
    </row>
    <row r="31" spans="1:15" s="1" customFormat="1" ht="25.2" customHeight="1">
      <c r="A31" s="7">
        <v>29</v>
      </c>
      <c r="B31" s="19" t="s">
        <v>13</v>
      </c>
      <c r="C31" s="15" t="s">
        <v>91</v>
      </c>
      <c r="D31" s="16">
        <v>132.41999999999999</v>
      </c>
      <c r="E31" s="16" t="s">
        <v>13</v>
      </c>
      <c r="F31" s="17" t="s">
        <v>13</v>
      </c>
      <c r="G31" s="18">
        <v>34</v>
      </c>
      <c r="H31" s="18">
        <v>1</v>
      </c>
      <c r="I31" s="19">
        <v>18</v>
      </c>
      <c r="J31" s="18">
        <v>1</v>
      </c>
      <c r="K31" s="19" t="s">
        <v>13</v>
      </c>
      <c r="L31" s="16">
        <v>89754.03</v>
      </c>
      <c r="M31" s="18">
        <v>18614</v>
      </c>
      <c r="N31" s="20">
        <v>44855</v>
      </c>
      <c r="O31" s="40" t="s">
        <v>42</v>
      </c>
    </row>
    <row r="32" spans="1:15" ht="25.2" customHeight="1">
      <c r="A32" s="7">
        <v>30</v>
      </c>
      <c r="B32" s="19">
        <v>31</v>
      </c>
      <c r="C32" s="15" t="s">
        <v>198</v>
      </c>
      <c r="D32" s="16">
        <v>125</v>
      </c>
      <c r="E32" s="16">
        <v>143.5</v>
      </c>
      <c r="F32" s="17">
        <f>(D32-E32)/E32</f>
        <v>-0.1289198606271777</v>
      </c>
      <c r="G32" s="18">
        <v>21</v>
      </c>
      <c r="H32" s="18">
        <v>1</v>
      </c>
      <c r="I32" s="19">
        <f t="shared" ref="I32:I41" si="3">G32/H32</f>
        <v>21</v>
      </c>
      <c r="J32" s="18">
        <v>1</v>
      </c>
      <c r="K32" s="19" t="s">
        <v>13</v>
      </c>
      <c r="L32" s="9">
        <v>2156.75</v>
      </c>
      <c r="M32" s="11">
        <v>323</v>
      </c>
      <c r="N32" s="20">
        <v>46104</v>
      </c>
      <c r="O32" s="40" t="s">
        <v>47</v>
      </c>
    </row>
    <row r="33" spans="1:15" s="1" customFormat="1" ht="25.2" customHeight="1">
      <c r="A33" s="7">
        <v>31</v>
      </c>
      <c r="B33" s="12" t="s">
        <v>13</v>
      </c>
      <c r="C33" s="8" t="s">
        <v>277</v>
      </c>
      <c r="D33" s="9">
        <v>115.3</v>
      </c>
      <c r="E33" s="9" t="s">
        <v>13</v>
      </c>
      <c r="F33" s="10" t="s">
        <v>13</v>
      </c>
      <c r="G33" s="11">
        <v>14</v>
      </c>
      <c r="H33" s="11">
        <v>1</v>
      </c>
      <c r="I33" s="12">
        <f t="shared" si="3"/>
        <v>14</v>
      </c>
      <c r="J33" s="11">
        <v>1</v>
      </c>
      <c r="K33" s="12" t="s">
        <v>13</v>
      </c>
      <c r="L33" s="9">
        <v>38659.19</v>
      </c>
      <c r="M33" s="11">
        <v>4132</v>
      </c>
      <c r="N33" s="13">
        <v>45161</v>
      </c>
      <c r="O33" s="39" t="s">
        <v>47</v>
      </c>
    </row>
    <row r="34" spans="1:15" s="1" customFormat="1" ht="25.2" customHeight="1">
      <c r="A34" s="7">
        <v>32</v>
      </c>
      <c r="B34" s="12" t="s">
        <v>13</v>
      </c>
      <c r="C34" s="8" t="s">
        <v>273</v>
      </c>
      <c r="D34" s="9">
        <v>111</v>
      </c>
      <c r="E34" s="9" t="s">
        <v>13</v>
      </c>
      <c r="F34" s="10" t="s">
        <v>13</v>
      </c>
      <c r="G34" s="11">
        <v>22</v>
      </c>
      <c r="H34" s="11">
        <v>1</v>
      </c>
      <c r="I34" s="12">
        <f t="shared" si="3"/>
        <v>22</v>
      </c>
      <c r="J34" s="11">
        <v>1</v>
      </c>
      <c r="K34" s="12" t="s">
        <v>13</v>
      </c>
      <c r="L34" s="9">
        <v>2491</v>
      </c>
      <c r="M34" s="11">
        <v>410</v>
      </c>
      <c r="N34" s="13">
        <v>46143</v>
      </c>
      <c r="O34" s="39" t="s">
        <v>51</v>
      </c>
    </row>
    <row r="35" spans="1:15" s="1" customFormat="1" ht="25.2" customHeight="1">
      <c r="A35" s="7">
        <v>33</v>
      </c>
      <c r="B35" s="19" t="s">
        <v>13</v>
      </c>
      <c r="C35" s="15" t="s">
        <v>241</v>
      </c>
      <c r="D35" s="16">
        <v>102</v>
      </c>
      <c r="E35" s="16" t="s">
        <v>13</v>
      </c>
      <c r="F35" s="17" t="s">
        <v>13</v>
      </c>
      <c r="G35" s="18">
        <v>16</v>
      </c>
      <c r="H35" s="18">
        <v>1</v>
      </c>
      <c r="I35" s="19">
        <f t="shared" si="3"/>
        <v>16</v>
      </c>
      <c r="J35" s="18">
        <v>1</v>
      </c>
      <c r="K35" s="19">
        <v>5</v>
      </c>
      <c r="L35" s="16">
        <v>4470.5600000000004</v>
      </c>
      <c r="M35" s="18">
        <v>695</v>
      </c>
      <c r="N35" s="20">
        <v>46129</v>
      </c>
      <c r="O35" s="40" t="s">
        <v>42</v>
      </c>
    </row>
    <row r="36" spans="1:15" ht="25.2" customHeight="1">
      <c r="A36" s="7">
        <v>34</v>
      </c>
      <c r="B36" s="12">
        <v>39</v>
      </c>
      <c r="C36" s="8" t="s">
        <v>194</v>
      </c>
      <c r="D36" s="9">
        <v>79.599999999999994</v>
      </c>
      <c r="E36" s="9">
        <v>12</v>
      </c>
      <c r="F36" s="10">
        <f>(D36-E36)/E36</f>
        <v>5.6333333333333329</v>
      </c>
      <c r="G36" s="11">
        <v>9</v>
      </c>
      <c r="H36" s="11">
        <v>1</v>
      </c>
      <c r="I36" s="12">
        <f t="shared" si="3"/>
        <v>9</v>
      </c>
      <c r="J36" s="11">
        <v>1</v>
      </c>
      <c r="K36" s="12" t="s">
        <v>13</v>
      </c>
      <c r="L36" s="9">
        <v>5505.84</v>
      </c>
      <c r="M36" s="11">
        <v>787</v>
      </c>
      <c r="N36" s="13">
        <v>46104</v>
      </c>
      <c r="O36" s="39" t="s">
        <v>47</v>
      </c>
    </row>
    <row r="37" spans="1:15" ht="25.2" customHeight="1">
      <c r="A37" s="7">
        <v>35</v>
      </c>
      <c r="B37" s="12">
        <v>18</v>
      </c>
      <c r="C37" s="8" t="s">
        <v>16</v>
      </c>
      <c r="D37" s="9">
        <v>73.3</v>
      </c>
      <c r="E37" s="9">
        <v>840.81</v>
      </c>
      <c r="F37" s="10">
        <f>(D37-E37)/E37</f>
        <v>-0.91282215958421054</v>
      </c>
      <c r="G37" s="11">
        <v>6</v>
      </c>
      <c r="H37" s="11">
        <v>1</v>
      </c>
      <c r="I37" s="12">
        <f t="shared" si="3"/>
        <v>6</v>
      </c>
      <c r="J37" s="11">
        <v>1</v>
      </c>
      <c r="K37" s="12">
        <v>22</v>
      </c>
      <c r="L37" s="9">
        <v>2039993.62</v>
      </c>
      <c r="M37" s="11">
        <v>224540</v>
      </c>
      <c r="N37" s="13">
        <v>46010</v>
      </c>
      <c r="O37" s="39" t="s">
        <v>37</v>
      </c>
    </row>
    <row r="38" spans="1:15" ht="25.2" customHeight="1">
      <c r="A38" s="7">
        <v>36</v>
      </c>
      <c r="B38" s="12" t="s">
        <v>13</v>
      </c>
      <c r="C38" s="8" t="s">
        <v>196</v>
      </c>
      <c r="D38" s="9">
        <v>42.85</v>
      </c>
      <c r="E38" s="9" t="s">
        <v>13</v>
      </c>
      <c r="F38" s="10" t="s">
        <v>13</v>
      </c>
      <c r="G38" s="11">
        <v>5</v>
      </c>
      <c r="H38" s="11">
        <v>1</v>
      </c>
      <c r="I38" s="12">
        <f t="shared" si="3"/>
        <v>5</v>
      </c>
      <c r="J38" s="11">
        <v>1</v>
      </c>
      <c r="K38" s="12" t="s">
        <v>13</v>
      </c>
      <c r="L38" s="9">
        <v>4393.25</v>
      </c>
      <c r="M38" s="11">
        <v>731</v>
      </c>
      <c r="N38" s="13">
        <v>46104</v>
      </c>
      <c r="O38" s="39" t="s">
        <v>47</v>
      </c>
    </row>
    <row r="39" spans="1:15" ht="25.2" customHeight="1">
      <c r="A39" s="7">
        <v>37</v>
      </c>
      <c r="B39" s="12">
        <v>29</v>
      </c>
      <c r="C39" s="8" t="s">
        <v>233</v>
      </c>
      <c r="D39" s="9">
        <v>35.799999999999997</v>
      </c>
      <c r="E39" s="9">
        <v>160.4</v>
      </c>
      <c r="F39" s="10">
        <f>(D39-E39)/E39</f>
        <v>-0.77680798004987539</v>
      </c>
      <c r="G39" s="11">
        <v>4</v>
      </c>
      <c r="H39" s="11">
        <v>1</v>
      </c>
      <c r="I39" s="12">
        <f t="shared" si="3"/>
        <v>4</v>
      </c>
      <c r="J39" s="11">
        <v>1</v>
      </c>
      <c r="K39" s="12" t="s">
        <v>13</v>
      </c>
      <c r="L39" s="9">
        <v>25921.439999999999</v>
      </c>
      <c r="M39" s="11">
        <v>3529</v>
      </c>
      <c r="N39" s="13">
        <v>46104</v>
      </c>
      <c r="O39" s="39" t="s">
        <v>47</v>
      </c>
    </row>
    <row r="40" spans="1:15" s="1" customFormat="1" ht="24.6" customHeight="1">
      <c r="A40" s="7">
        <v>38</v>
      </c>
      <c r="B40" s="12">
        <v>34</v>
      </c>
      <c r="C40" s="8" t="s">
        <v>224</v>
      </c>
      <c r="D40" s="9">
        <v>21</v>
      </c>
      <c r="E40" s="9">
        <v>84</v>
      </c>
      <c r="F40" s="10">
        <f>(D40-E40)/E40</f>
        <v>-0.75</v>
      </c>
      <c r="G40" s="11">
        <v>3</v>
      </c>
      <c r="H40" s="11">
        <v>2</v>
      </c>
      <c r="I40" s="12">
        <f t="shared" si="3"/>
        <v>1.5</v>
      </c>
      <c r="J40" s="11">
        <v>1</v>
      </c>
      <c r="K40" s="12" t="s">
        <v>13</v>
      </c>
      <c r="L40" s="9">
        <v>31239.63</v>
      </c>
      <c r="M40" s="11">
        <v>5315</v>
      </c>
      <c r="N40" s="13">
        <v>45919</v>
      </c>
      <c r="O40" s="39" t="s">
        <v>86</v>
      </c>
    </row>
    <row r="41" spans="1:15" s="1" customFormat="1" ht="24.6" customHeight="1">
      <c r="A41" s="7">
        <v>39</v>
      </c>
      <c r="B41" s="12" t="s">
        <v>13</v>
      </c>
      <c r="C41" s="8" t="s">
        <v>192</v>
      </c>
      <c r="D41" s="9">
        <v>16.95</v>
      </c>
      <c r="E41" s="9" t="s">
        <v>13</v>
      </c>
      <c r="F41" s="10" t="s">
        <v>13</v>
      </c>
      <c r="G41" s="11">
        <v>2</v>
      </c>
      <c r="H41" s="11">
        <v>1</v>
      </c>
      <c r="I41" s="12">
        <f t="shared" si="3"/>
        <v>2</v>
      </c>
      <c r="J41" s="11">
        <v>1</v>
      </c>
      <c r="K41" s="12">
        <v>9</v>
      </c>
      <c r="L41" s="9">
        <v>31528.16</v>
      </c>
      <c r="M41" s="11">
        <v>4291</v>
      </c>
      <c r="N41" s="13">
        <v>46104</v>
      </c>
      <c r="O41" s="39" t="s">
        <v>47</v>
      </c>
    </row>
    <row r="42" spans="1:15" ht="25.2" customHeight="1">
      <c r="A42" s="7">
        <v>40</v>
      </c>
      <c r="B42" s="12" t="s">
        <v>13</v>
      </c>
      <c r="C42" s="8" t="s">
        <v>68</v>
      </c>
      <c r="D42" s="9">
        <v>15</v>
      </c>
      <c r="E42" s="9" t="s">
        <v>13</v>
      </c>
      <c r="F42" s="10" t="s">
        <v>13</v>
      </c>
      <c r="G42" s="11">
        <v>2</v>
      </c>
      <c r="H42" s="11">
        <v>1</v>
      </c>
      <c r="I42" s="12">
        <v>112</v>
      </c>
      <c r="J42" s="11">
        <v>1</v>
      </c>
      <c r="K42" s="12" t="s">
        <v>13</v>
      </c>
      <c r="L42" s="9">
        <v>69631.89</v>
      </c>
      <c r="M42" s="11">
        <v>11468</v>
      </c>
      <c r="N42" s="13">
        <v>45954</v>
      </c>
      <c r="O42" s="39" t="s">
        <v>47</v>
      </c>
    </row>
    <row r="43" spans="1:15" ht="24.75" customHeight="1">
      <c r="A43" s="59"/>
      <c r="B43" s="60" t="s">
        <v>14</v>
      </c>
      <c r="C43" s="61" t="s">
        <v>289</v>
      </c>
      <c r="D43" s="27">
        <f>SUBTOTAL(109,Table132456789101112131415161718192021[Pajamos 
(GBO)])</f>
        <v>207055.41999999993</v>
      </c>
      <c r="E43" s="27" t="s">
        <v>282</v>
      </c>
      <c r="F43" s="62">
        <f>(D43-E43)/E43</f>
        <v>-0.49690223320479848</v>
      </c>
      <c r="G43" s="34">
        <f>SUBTOTAL(109,Table132456789101112131415161718192021[Žiūrovų sk. 
(ADM)])</f>
        <v>27392</v>
      </c>
      <c r="H43" s="63"/>
      <c r="I43" s="59"/>
      <c r="J43" s="63"/>
      <c r="K43" s="64"/>
      <c r="L43" s="65"/>
      <c r="M43" s="63"/>
      <c r="N43" s="66"/>
      <c r="O43" s="67"/>
    </row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BC11-3FDE-44F3-B945-86D8DE9F842A}">
  <sheetPr>
    <pageSetUpPr fitToPage="1"/>
  </sheetPr>
  <dimension ref="A1:XFC287"/>
  <sheetViews>
    <sheetView zoomScale="60" zoomScaleNormal="60" workbookViewId="0">
      <selection activeCell="O31" sqref="O31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6" s="58" customFormat="1" ht="40.5" customHeight="1" thickBot="1">
      <c r="A1" s="98" t="s">
        <v>264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6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" customFormat="1" ht="25.2" customHeight="1">
      <c r="A3" s="7">
        <v>1</v>
      </c>
      <c r="B3" s="12">
        <v>1</v>
      </c>
      <c r="C3" s="8" t="s">
        <v>263</v>
      </c>
      <c r="D3" s="9">
        <v>182719.57</v>
      </c>
      <c r="E3" s="9">
        <v>221103.28</v>
      </c>
      <c r="F3" s="10">
        <f>(D3-E3)/E3</f>
        <v>-0.1736008167766665</v>
      </c>
      <c r="G3" s="11">
        <v>20218</v>
      </c>
      <c r="H3" s="11">
        <v>199</v>
      </c>
      <c r="I3" s="12">
        <f t="shared" ref="I3:I9" si="0">G3/H3</f>
        <v>101.59798994974874</v>
      </c>
      <c r="J3" s="11">
        <v>20</v>
      </c>
      <c r="K3" s="12">
        <v>2</v>
      </c>
      <c r="L3" s="9">
        <v>567588.54</v>
      </c>
      <c r="M3" s="11">
        <v>65472</v>
      </c>
      <c r="N3" s="13">
        <v>46143</v>
      </c>
      <c r="O3" s="39" t="s">
        <v>37</v>
      </c>
      <c r="P3" s="42"/>
    </row>
    <row r="4" spans="1:16" s="2" customFormat="1" ht="25.2" customHeight="1">
      <c r="A4" s="7">
        <v>2</v>
      </c>
      <c r="B4" s="12">
        <v>2</v>
      </c>
      <c r="C4" s="8" t="s">
        <v>251</v>
      </c>
      <c r="D4" s="9">
        <v>63536.97</v>
      </c>
      <c r="E4" s="9">
        <v>60101.41</v>
      </c>
      <c r="F4" s="10">
        <f>(D4-E4)/E4</f>
        <v>5.7162718811422188E-2</v>
      </c>
      <c r="G4" s="11">
        <v>8084</v>
      </c>
      <c r="H4" s="11">
        <v>125</v>
      </c>
      <c r="I4" s="12">
        <f t="shared" si="0"/>
        <v>64.671999999999997</v>
      </c>
      <c r="J4" s="11">
        <v>18</v>
      </c>
      <c r="K4" s="12">
        <v>3</v>
      </c>
      <c r="L4" s="9">
        <v>362458.32</v>
      </c>
      <c r="M4" s="11">
        <v>43979</v>
      </c>
      <c r="N4" s="13">
        <v>46136</v>
      </c>
      <c r="O4" s="39" t="s">
        <v>207</v>
      </c>
      <c r="P4" s="42"/>
    </row>
    <row r="5" spans="1:16" s="2" customFormat="1" ht="25.2" customHeight="1">
      <c r="A5" s="7">
        <v>3</v>
      </c>
      <c r="B5" s="12" t="s">
        <v>49</v>
      </c>
      <c r="C5" s="8" t="s">
        <v>262</v>
      </c>
      <c r="D5" s="9">
        <v>34202.120000000003</v>
      </c>
      <c r="E5" s="9" t="s">
        <v>13</v>
      </c>
      <c r="F5" s="10" t="s">
        <v>13</v>
      </c>
      <c r="G5" s="11">
        <v>5420</v>
      </c>
      <c r="H5" s="11">
        <v>97</v>
      </c>
      <c r="I5" s="12">
        <f t="shared" si="0"/>
        <v>55.876288659793815</v>
      </c>
      <c r="J5" s="11">
        <v>15</v>
      </c>
      <c r="K5" s="12">
        <v>1</v>
      </c>
      <c r="L5" s="9">
        <v>36161.46</v>
      </c>
      <c r="M5" s="11">
        <v>5770</v>
      </c>
      <c r="N5" s="13">
        <v>46150</v>
      </c>
      <c r="O5" s="39" t="s">
        <v>39</v>
      </c>
      <c r="P5" s="42"/>
    </row>
    <row r="6" spans="1:16" s="2" customFormat="1" ht="25.2" customHeight="1">
      <c r="A6" s="7">
        <v>4</v>
      </c>
      <c r="B6" s="12">
        <v>3</v>
      </c>
      <c r="C6" s="8" t="s">
        <v>216</v>
      </c>
      <c r="D6" s="9">
        <v>29323.27</v>
      </c>
      <c r="E6" s="9">
        <v>21642.37</v>
      </c>
      <c r="F6" s="10">
        <f>(D6-E6)/E6</f>
        <v>0.35490105750895129</v>
      </c>
      <c r="G6" s="11">
        <v>4563</v>
      </c>
      <c r="H6" s="11">
        <v>83</v>
      </c>
      <c r="I6" s="12">
        <f t="shared" si="0"/>
        <v>54.975903614457835</v>
      </c>
      <c r="J6" s="11">
        <v>16</v>
      </c>
      <c r="K6" s="12">
        <v>7</v>
      </c>
      <c r="L6" s="9">
        <v>452188.14</v>
      </c>
      <c r="M6" s="11">
        <v>72039</v>
      </c>
      <c r="N6" s="13">
        <v>46113</v>
      </c>
      <c r="O6" s="39" t="s">
        <v>207</v>
      </c>
      <c r="P6" s="42"/>
    </row>
    <row r="7" spans="1:16" s="2" customFormat="1" ht="25.2" customHeight="1">
      <c r="A7" s="7">
        <v>5</v>
      </c>
      <c r="B7" s="12" t="s">
        <v>49</v>
      </c>
      <c r="C7" s="8" t="s">
        <v>267</v>
      </c>
      <c r="D7" s="9">
        <v>25671.56</v>
      </c>
      <c r="E7" s="9" t="s">
        <v>13</v>
      </c>
      <c r="F7" s="10" t="s">
        <v>13</v>
      </c>
      <c r="G7" s="11">
        <v>3109</v>
      </c>
      <c r="H7" s="11">
        <v>96</v>
      </c>
      <c r="I7" s="12">
        <f t="shared" si="0"/>
        <v>32.385416666666664</v>
      </c>
      <c r="J7" s="11">
        <v>14</v>
      </c>
      <c r="K7" s="12">
        <v>1</v>
      </c>
      <c r="L7" s="9">
        <v>28588.49</v>
      </c>
      <c r="M7" s="11">
        <v>3481</v>
      </c>
      <c r="N7" s="13">
        <v>46150</v>
      </c>
      <c r="O7" s="39" t="s">
        <v>55</v>
      </c>
      <c r="P7" s="42"/>
    </row>
    <row r="8" spans="1:16" s="21" customFormat="1" ht="25.2" customHeight="1">
      <c r="A8" s="7">
        <v>6</v>
      </c>
      <c r="B8" s="12">
        <v>4</v>
      </c>
      <c r="C8" s="8" t="s">
        <v>184</v>
      </c>
      <c r="D8" s="9">
        <v>17025.099999999999</v>
      </c>
      <c r="E8" s="9">
        <v>13449.95</v>
      </c>
      <c r="F8" s="10">
        <f>(D8-E8)/E8</f>
        <v>0.26581139706839041</v>
      </c>
      <c r="G8" s="11">
        <v>2050</v>
      </c>
      <c r="H8" s="11">
        <v>41</v>
      </c>
      <c r="I8" s="12">
        <f t="shared" si="0"/>
        <v>50</v>
      </c>
      <c r="J8" s="11">
        <v>7</v>
      </c>
      <c r="K8" s="12">
        <v>8</v>
      </c>
      <c r="L8" s="9">
        <v>666881.21</v>
      </c>
      <c r="M8" s="11">
        <v>74737</v>
      </c>
      <c r="N8" s="13">
        <v>46101</v>
      </c>
      <c r="O8" s="39" t="s">
        <v>39</v>
      </c>
      <c r="P8" s="42"/>
    </row>
    <row r="9" spans="1:16" s="2" customFormat="1" ht="25.2" customHeight="1">
      <c r="A9" s="7">
        <v>7</v>
      </c>
      <c r="B9" s="12">
        <v>5</v>
      </c>
      <c r="C9" s="8" t="s">
        <v>261</v>
      </c>
      <c r="D9" s="9">
        <v>12428.83</v>
      </c>
      <c r="E9" s="9">
        <v>12591.43</v>
      </c>
      <c r="F9" s="10">
        <f>(D9-E9)/E9</f>
        <v>-1.2913545165243373E-2</v>
      </c>
      <c r="G9" s="11">
        <v>1507</v>
      </c>
      <c r="H9" s="11">
        <v>30</v>
      </c>
      <c r="I9" s="12">
        <f t="shared" si="0"/>
        <v>50.233333333333334</v>
      </c>
      <c r="J9" s="11">
        <v>11</v>
      </c>
      <c r="K9" s="12">
        <v>2</v>
      </c>
      <c r="L9" s="9">
        <v>31964.45</v>
      </c>
      <c r="M9" s="11">
        <v>4071</v>
      </c>
      <c r="N9" s="13">
        <v>46143</v>
      </c>
      <c r="O9" s="39" t="s">
        <v>42</v>
      </c>
      <c r="P9" s="42"/>
    </row>
    <row r="10" spans="1:16" s="21" customFormat="1" ht="25.2" customHeight="1">
      <c r="A10" s="7">
        <v>8</v>
      </c>
      <c r="B10" s="12">
        <v>6</v>
      </c>
      <c r="C10" s="8" t="s">
        <v>248</v>
      </c>
      <c r="D10" s="9">
        <v>10992</v>
      </c>
      <c r="E10" s="9">
        <v>10203</v>
      </c>
      <c r="F10" s="10">
        <f>(D10-E10)/E10</f>
        <v>7.7330197000882089E-2</v>
      </c>
      <c r="G10" s="11">
        <v>1848</v>
      </c>
      <c r="H10" s="11" t="s">
        <v>13</v>
      </c>
      <c r="I10" s="12" t="s">
        <v>13</v>
      </c>
      <c r="J10" s="11">
        <v>14</v>
      </c>
      <c r="K10" s="12">
        <v>3</v>
      </c>
      <c r="L10" s="9">
        <v>59188</v>
      </c>
      <c r="M10" s="11">
        <v>10477</v>
      </c>
      <c r="N10" s="13">
        <v>46136</v>
      </c>
      <c r="O10" s="39" t="s">
        <v>44</v>
      </c>
      <c r="P10" s="42"/>
    </row>
    <row r="11" spans="1:16" s="21" customFormat="1" ht="25.2" customHeight="1">
      <c r="A11" s="7">
        <v>9</v>
      </c>
      <c r="B11" s="12">
        <v>7</v>
      </c>
      <c r="C11" s="8" t="s">
        <v>170</v>
      </c>
      <c r="D11" s="9">
        <v>8892.2000000000007</v>
      </c>
      <c r="E11" s="9">
        <v>8207.5</v>
      </c>
      <c r="F11" s="10">
        <f>(D11-E11)/E11</f>
        <v>8.3423697837343977E-2</v>
      </c>
      <c r="G11" s="11">
        <v>1425</v>
      </c>
      <c r="H11" s="11">
        <v>24</v>
      </c>
      <c r="I11" s="12">
        <f t="shared" ref="I11:I16" si="1">G11/H11</f>
        <v>59.375</v>
      </c>
      <c r="J11" s="11">
        <v>7</v>
      </c>
      <c r="K11" s="12">
        <v>10</v>
      </c>
      <c r="L11" s="9">
        <v>378856.66</v>
      </c>
      <c r="M11" s="11">
        <v>62935</v>
      </c>
      <c r="N11" s="13">
        <v>46087</v>
      </c>
      <c r="O11" s="39" t="s">
        <v>37</v>
      </c>
      <c r="P11" s="42"/>
    </row>
    <row r="12" spans="1:16" s="2" customFormat="1" ht="25.2" customHeight="1">
      <c r="A12" s="7">
        <v>10</v>
      </c>
      <c r="B12" s="12">
        <v>8</v>
      </c>
      <c r="C12" s="8" t="s">
        <v>257</v>
      </c>
      <c r="D12" s="9">
        <v>5151.32</v>
      </c>
      <c r="E12" s="9">
        <v>7056.22</v>
      </c>
      <c r="F12" s="10">
        <f>(D12-E12)/E12</f>
        <v>-0.26996040372890873</v>
      </c>
      <c r="G12" s="11">
        <v>967</v>
      </c>
      <c r="H12" s="11">
        <v>34</v>
      </c>
      <c r="I12" s="12">
        <f t="shared" si="1"/>
        <v>28.441176470588236</v>
      </c>
      <c r="J12" s="11">
        <v>12</v>
      </c>
      <c r="K12" s="12">
        <v>2</v>
      </c>
      <c r="L12" s="9">
        <v>14130.48</v>
      </c>
      <c r="M12" s="11">
        <v>2570</v>
      </c>
      <c r="N12" s="13">
        <v>46143</v>
      </c>
      <c r="O12" s="39" t="s">
        <v>46</v>
      </c>
      <c r="P12" s="42"/>
    </row>
    <row r="13" spans="1:16" s="21" customFormat="1" ht="25.2" customHeight="1">
      <c r="A13" s="7">
        <v>11</v>
      </c>
      <c r="B13" s="12" t="s">
        <v>49</v>
      </c>
      <c r="C13" s="8" t="s">
        <v>269</v>
      </c>
      <c r="D13" s="9">
        <v>4457.09</v>
      </c>
      <c r="E13" s="9" t="s">
        <v>13</v>
      </c>
      <c r="F13" s="10" t="s">
        <v>13</v>
      </c>
      <c r="G13" s="11">
        <v>550</v>
      </c>
      <c r="H13" s="11">
        <v>27</v>
      </c>
      <c r="I13" s="12">
        <f t="shared" si="1"/>
        <v>20.37037037037037</v>
      </c>
      <c r="J13" s="11">
        <v>11</v>
      </c>
      <c r="K13" s="12">
        <v>1</v>
      </c>
      <c r="L13" s="9">
        <v>4457.09</v>
      </c>
      <c r="M13" s="11">
        <v>550</v>
      </c>
      <c r="N13" s="13">
        <v>46150</v>
      </c>
      <c r="O13" s="39" t="s">
        <v>43</v>
      </c>
      <c r="P13" s="42"/>
    </row>
    <row r="14" spans="1:16" s="2" customFormat="1" ht="25.2" customHeight="1">
      <c r="A14" s="7">
        <v>12</v>
      </c>
      <c r="B14" s="12">
        <v>9</v>
      </c>
      <c r="C14" s="8" t="s">
        <v>235</v>
      </c>
      <c r="D14" s="9">
        <v>2896.32</v>
      </c>
      <c r="E14" s="9">
        <v>6089.95</v>
      </c>
      <c r="F14" s="10">
        <f>(D14-E14)/E14</f>
        <v>-0.52440988842272918</v>
      </c>
      <c r="G14" s="11">
        <v>373</v>
      </c>
      <c r="H14" s="11">
        <v>16</v>
      </c>
      <c r="I14" s="12">
        <f t="shared" si="1"/>
        <v>23.3125</v>
      </c>
      <c r="J14" s="11">
        <v>6</v>
      </c>
      <c r="K14" s="12">
        <v>5</v>
      </c>
      <c r="L14" s="9">
        <v>190374.06</v>
      </c>
      <c r="M14" s="11">
        <v>26366</v>
      </c>
      <c r="N14" s="13">
        <v>46122</v>
      </c>
      <c r="O14" s="39" t="s">
        <v>47</v>
      </c>
      <c r="P14" s="42"/>
    </row>
    <row r="15" spans="1:16" s="2" customFormat="1" ht="25.2" customHeight="1">
      <c r="A15" s="7">
        <v>13</v>
      </c>
      <c r="B15" s="12" t="s">
        <v>49</v>
      </c>
      <c r="C15" s="8" t="s">
        <v>268</v>
      </c>
      <c r="D15" s="9">
        <v>2873.93</v>
      </c>
      <c r="E15" s="9" t="s">
        <v>13</v>
      </c>
      <c r="F15" s="10" t="s">
        <v>13</v>
      </c>
      <c r="G15" s="11">
        <v>387</v>
      </c>
      <c r="H15" s="11">
        <v>19</v>
      </c>
      <c r="I15" s="12">
        <f t="shared" si="1"/>
        <v>20.368421052631579</v>
      </c>
      <c r="J15" s="11">
        <v>12</v>
      </c>
      <c r="K15" s="12">
        <v>1</v>
      </c>
      <c r="L15" s="9">
        <v>2873.93</v>
      </c>
      <c r="M15" s="11">
        <v>387</v>
      </c>
      <c r="N15" s="13">
        <v>46150</v>
      </c>
      <c r="O15" s="39" t="s">
        <v>207</v>
      </c>
      <c r="P15" s="42"/>
    </row>
    <row r="16" spans="1:16" s="21" customFormat="1" ht="25.2" customHeight="1">
      <c r="A16" s="7">
        <v>14</v>
      </c>
      <c r="B16" s="12">
        <v>10</v>
      </c>
      <c r="C16" s="8" t="s">
        <v>239</v>
      </c>
      <c r="D16" s="9">
        <v>2730.64</v>
      </c>
      <c r="E16" s="9">
        <v>4718.82</v>
      </c>
      <c r="F16" s="10">
        <f>(D16-E16)/E16</f>
        <v>-0.42132990874837351</v>
      </c>
      <c r="G16" s="11">
        <v>338</v>
      </c>
      <c r="H16" s="11">
        <v>8</v>
      </c>
      <c r="I16" s="12">
        <f t="shared" si="1"/>
        <v>42.25</v>
      </c>
      <c r="J16" s="11">
        <v>3</v>
      </c>
      <c r="K16" s="12">
        <v>4</v>
      </c>
      <c r="L16" s="9">
        <v>91563.37</v>
      </c>
      <c r="M16" s="11">
        <v>12113</v>
      </c>
      <c r="N16" s="13">
        <v>46129</v>
      </c>
      <c r="O16" s="39" t="s">
        <v>55</v>
      </c>
      <c r="P16" s="42"/>
    </row>
    <row r="17" spans="1:16" s="21" customFormat="1" ht="25.2" customHeight="1">
      <c r="A17" s="7">
        <v>15</v>
      </c>
      <c r="B17" s="12">
        <v>11</v>
      </c>
      <c r="C17" s="8" t="s">
        <v>256</v>
      </c>
      <c r="D17" s="9">
        <v>1115</v>
      </c>
      <c r="E17" s="9">
        <v>4325</v>
      </c>
      <c r="F17" s="10">
        <f>(D17-E17)/E17</f>
        <v>-0.74219653179190748</v>
      </c>
      <c r="G17" s="11">
        <v>175</v>
      </c>
      <c r="H17" s="11" t="s">
        <v>13</v>
      </c>
      <c r="I17" s="12" t="s">
        <v>13</v>
      </c>
      <c r="J17" s="11">
        <v>3</v>
      </c>
      <c r="K17" s="12">
        <v>2</v>
      </c>
      <c r="L17" s="9">
        <v>7188</v>
      </c>
      <c r="M17" s="11">
        <v>1018</v>
      </c>
      <c r="N17" s="13">
        <v>46143</v>
      </c>
      <c r="O17" s="39" t="s">
        <v>44</v>
      </c>
      <c r="P17" s="42"/>
    </row>
    <row r="18" spans="1:16" s="21" customFormat="1" ht="25.2" customHeight="1">
      <c r="A18" s="7">
        <v>16</v>
      </c>
      <c r="B18" s="19" t="s">
        <v>53</v>
      </c>
      <c r="C18" s="15" t="s">
        <v>271</v>
      </c>
      <c r="D18" s="16">
        <v>928</v>
      </c>
      <c r="E18" s="16" t="s">
        <v>13</v>
      </c>
      <c r="F18" s="17" t="s">
        <v>13</v>
      </c>
      <c r="G18" s="18">
        <v>58</v>
      </c>
      <c r="H18" s="18">
        <v>1</v>
      </c>
      <c r="I18" s="19">
        <f t="shared" ref="I18:I41" si="2">G18/H18</f>
        <v>58</v>
      </c>
      <c r="J18" s="18" t="s">
        <v>13</v>
      </c>
      <c r="K18" s="19" t="s">
        <v>13</v>
      </c>
      <c r="L18" s="16">
        <v>928</v>
      </c>
      <c r="M18" s="18">
        <v>58</v>
      </c>
      <c r="N18" s="20" t="s">
        <v>45</v>
      </c>
      <c r="O18" s="40" t="s">
        <v>272</v>
      </c>
      <c r="P18" s="51"/>
    </row>
    <row r="19" spans="1:16" s="2" customFormat="1" ht="25.2" customHeight="1">
      <c r="A19" s="7">
        <v>17</v>
      </c>
      <c r="B19" s="19" t="s">
        <v>13</v>
      </c>
      <c r="C19" s="15" t="s">
        <v>273</v>
      </c>
      <c r="D19" s="16">
        <v>902.96</v>
      </c>
      <c r="E19" s="16" t="s">
        <v>13</v>
      </c>
      <c r="F19" s="17" t="s">
        <v>13</v>
      </c>
      <c r="G19" s="18">
        <v>137</v>
      </c>
      <c r="H19" s="18">
        <v>5</v>
      </c>
      <c r="I19" s="19">
        <f t="shared" si="2"/>
        <v>27.4</v>
      </c>
      <c r="J19" s="18">
        <v>3</v>
      </c>
      <c r="K19" s="19" t="s">
        <v>13</v>
      </c>
      <c r="L19" s="16">
        <v>2380</v>
      </c>
      <c r="M19" s="18">
        <v>388</v>
      </c>
      <c r="N19" s="20">
        <v>46143</v>
      </c>
      <c r="O19" s="40" t="s">
        <v>51</v>
      </c>
      <c r="P19" s="51"/>
    </row>
    <row r="20" spans="1:16" s="21" customFormat="1" ht="25.2" customHeight="1">
      <c r="A20" s="7">
        <v>18</v>
      </c>
      <c r="B20" s="12">
        <v>32</v>
      </c>
      <c r="C20" s="8" t="s">
        <v>16</v>
      </c>
      <c r="D20" s="9">
        <v>840.81</v>
      </c>
      <c r="E20" s="9">
        <v>100.14</v>
      </c>
      <c r="F20" s="10">
        <f>(D20-E20)/E20</f>
        <v>7.3963451168364287</v>
      </c>
      <c r="G20" s="11">
        <v>68</v>
      </c>
      <c r="H20" s="11">
        <v>2</v>
      </c>
      <c r="I20" s="12">
        <f t="shared" si="2"/>
        <v>34</v>
      </c>
      <c r="J20" s="11">
        <v>1</v>
      </c>
      <c r="K20" s="12" t="s">
        <v>13</v>
      </c>
      <c r="L20" s="9">
        <v>2039920.32</v>
      </c>
      <c r="M20" s="11">
        <v>224534</v>
      </c>
      <c r="N20" s="13">
        <v>46010</v>
      </c>
      <c r="O20" s="39" t="s">
        <v>37</v>
      </c>
      <c r="P20" s="42"/>
    </row>
    <row r="21" spans="1:16" ht="25.2" customHeight="1">
      <c r="A21" s="7">
        <v>19</v>
      </c>
      <c r="B21" s="12" t="s">
        <v>49</v>
      </c>
      <c r="C21" s="8" t="s">
        <v>266</v>
      </c>
      <c r="D21" s="9">
        <v>817.85</v>
      </c>
      <c r="E21" s="9" t="s">
        <v>13</v>
      </c>
      <c r="F21" s="10" t="s">
        <v>13</v>
      </c>
      <c r="G21" s="11">
        <v>150</v>
      </c>
      <c r="H21" s="11">
        <v>15</v>
      </c>
      <c r="I21" s="12">
        <f t="shared" si="2"/>
        <v>10</v>
      </c>
      <c r="J21" s="11">
        <v>7</v>
      </c>
      <c r="K21" s="12">
        <v>1</v>
      </c>
      <c r="L21" s="9">
        <v>817.85</v>
      </c>
      <c r="M21" s="11">
        <v>150</v>
      </c>
      <c r="N21" s="13">
        <v>46150</v>
      </c>
      <c r="O21" s="39" t="s">
        <v>86</v>
      </c>
      <c r="P21" s="42"/>
    </row>
    <row r="22" spans="1:16" s="1" customFormat="1" ht="25.2" customHeight="1">
      <c r="A22" s="7">
        <v>20</v>
      </c>
      <c r="B22" s="12">
        <v>13</v>
      </c>
      <c r="C22" s="8" t="s">
        <v>240</v>
      </c>
      <c r="D22" s="9">
        <v>502.6</v>
      </c>
      <c r="E22" s="9">
        <v>1487.8</v>
      </c>
      <c r="F22" s="10">
        <f>(D22-E22)/E22</f>
        <v>-0.66218577765828734</v>
      </c>
      <c r="G22" s="11">
        <v>130</v>
      </c>
      <c r="H22" s="11">
        <v>2</v>
      </c>
      <c r="I22" s="12">
        <f t="shared" si="2"/>
        <v>65</v>
      </c>
      <c r="J22" s="11">
        <v>1</v>
      </c>
      <c r="K22" s="12">
        <v>4</v>
      </c>
      <c r="L22" s="9">
        <v>23163</v>
      </c>
      <c r="M22" s="11">
        <v>3952</v>
      </c>
      <c r="N22" s="13">
        <v>46129</v>
      </c>
      <c r="O22" s="39" t="s">
        <v>42</v>
      </c>
      <c r="P22" s="42"/>
    </row>
    <row r="23" spans="1:16" ht="25.2" customHeight="1">
      <c r="A23" s="7">
        <v>21</v>
      </c>
      <c r="B23" s="12">
        <v>16</v>
      </c>
      <c r="C23" s="8" t="s">
        <v>243</v>
      </c>
      <c r="D23" s="9">
        <v>458.45</v>
      </c>
      <c r="E23" s="9">
        <v>408.68999999999994</v>
      </c>
      <c r="F23" s="10">
        <v>0.73100381194409125</v>
      </c>
      <c r="G23" s="11">
        <v>54</v>
      </c>
      <c r="H23" s="11">
        <v>5</v>
      </c>
      <c r="I23" s="12">
        <f t="shared" si="2"/>
        <v>10.8</v>
      </c>
      <c r="J23" s="11">
        <v>3</v>
      </c>
      <c r="K23" s="12">
        <v>4</v>
      </c>
      <c r="L23" s="9">
        <v>2889.79</v>
      </c>
      <c r="M23" s="11">
        <v>518</v>
      </c>
      <c r="N23" s="13">
        <v>46129</v>
      </c>
      <c r="O23" s="39" t="s">
        <v>43</v>
      </c>
      <c r="P23" s="42"/>
    </row>
    <row r="24" spans="1:16" ht="25.2" customHeight="1">
      <c r="A24" s="7">
        <v>22</v>
      </c>
      <c r="B24" s="12">
        <v>19</v>
      </c>
      <c r="C24" s="8" t="s">
        <v>213</v>
      </c>
      <c r="D24" s="9">
        <v>441.5</v>
      </c>
      <c r="E24" s="9">
        <v>237</v>
      </c>
      <c r="F24" s="10">
        <f>(D24-E24)/E24</f>
        <v>0.8628691983122363</v>
      </c>
      <c r="G24" s="11">
        <v>81</v>
      </c>
      <c r="H24" s="11">
        <v>3</v>
      </c>
      <c r="I24" s="12">
        <f t="shared" si="2"/>
        <v>27</v>
      </c>
      <c r="J24" s="11">
        <v>2</v>
      </c>
      <c r="K24" s="12">
        <v>6</v>
      </c>
      <c r="L24" s="9">
        <v>10211.33</v>
      </c>
      <c r="M24" s="11">
        <v>1676</v>
      </c>
      <c r="N24" s="13">
        <v>46115</v>
      </c>
      <c r="O24" s="39" t="s">
        <v>46</v>
      </c>
      <c r="P24" s="42"/>
    </row>
    <row r="25" spans="1:16" ht="25.2" customHeight="1">
      <c r="A25" s="7">
        <v>23</v>
      </c>
      <c r="B25" s="12" t="s">
        <v>13</v>
      </c>
      <c r="C25" s="8" t="s">
        <v>113</v>
      </c>
      <c r="D25" s="9">
        <v>414</v>
      </c>
      <c r="E25" s="9" t="s">
        <v>13</v>
      </c>
      <c r="F25" s="10" t="s">
        <v>13</v>
      </c>
      <c r="G25" s="11">
        <v>63</v>
      </c>
      <c r="H25" s="11">
        <v>3</v>
      </c>
      <c r="I25" s="12">
        <f t="shared" si="2"/>
        <v>21</v>
      </c>
      <c r="J25" s="11">
        <v>2</v>
      </c>
      <c r="K25" s="12" t="s">
        <v>13</v>
      </c>
      <c r="L25" s="9">
        <v>33509</v>
      </c>
      <c r="M25" s="11">
        <v>5407</v>
      </c>
      <c r="N25" s="13">
        <v>46059</v>
      </c>
      <c r="O25" s="39" t="s">
        <v>119</v>
      </c>
      <c r="P25" s="42"/>
    </row>
    <row r="26" spans="1:16" s="1" customFormat="1" ht="25.2" customHeight="1">
      <c r="A26" s="7">
        <v>24</v>
      </c>
      <c r="B26" s="12">
        <v>20</v>
      </c>
      <c r="C26" s="8" t="s">
        <v>29</v>
      </c>
      <c r="D26" s="9">
        <v>291</v>
      </c>
      <c r="E26" s="9">
        <v>206</v>
      </c>
      <c r="F26" s="10">
        <f>(D26-E26)/E26</f>
        <v>0.41262135922330095</v>
      </c>
      <c r="G26" s="11">
        <v>47</v>
      </c>
      <c r="H26" s="11">
        <v>1</v>
      </c>
      <c r="I26" s="12">
        <f t="shared" si="2"/>
        <v>47</v>
      </c>
      <c r="J26" s="11">
        <v>1</v>
      </c>
      <c r="K26" s="12" t="s">
        <v>13</v>
      </c>
      <c r="L26" s="9">
        <v>32503.129999999997</v>
      </c>
      <c r="M26" s="11">
        <v>5707</v>
      </c>
      <c r="N26" s="13">
        <v>46024</v>
      </c>
      <c r="O26" s="39" t="s">
        <v>46</v>
      </c>
      <c r="P26" s="42"/>
    </row>
    <row r="27" spans="1:16" s="1" customFormat="1" ht="25.2" customHeight="1">
      <c r="A27" s="7">
        <v>25</v>
      </c>
      <c r="B27" s="12">
        <v>14</v>
      </c>
      <c r="C27" s="8" t="s">
        <v>191</v>
      </c>
      <c r="D27" s="9">
        <v>267.5</v>
      </c>
      <c r="E27" s="9">
        <v>682.06</v>
      </c>
      <c r="F27" s="10">
        <f>(D27-E27)/E27</f>
        <v>-0.6078057648887194</v>
      </c>
      <c r="G27" s="11">
        <v>45</v>
      </c>
      <c r="H27" s="11">
        <v>1</v>
      </c>
      <c r="I27" s="12">
        <f t="shared" si="2"/>
        <v>45</v>
      </c>
      <c r="J27" s="11">
        <v>1</v>
      </c>
      <c r="K27" s="12">
        <v>8</v>
      </c>
      <c r="L27" s="9">
        <v>48557.120000000003</v>
      </c>
      <c r="M27" s="11">
        <v>6848</v>
      </c>
      <c r="N27" s="13">
        <v>46104</v>
      </c>
      <c r="O27" s="39" t="s">
        <v>47</v>
      </c>
      <c r="P27" s="42"/>
    </row>
    <row r="28" spans="1:16" ht="25.2" customHeight="1">
      <c r="A28" s="7">
        <v>26</v>
      </c>
      <c r="B28" s="12">
        <v>31</v>
      </c>
      <c r="C28" s="8" t="s">
        <v>250</v>
      </c>
      <c r="D28" s="9">
        <v>264.05</v>
      </c>
      <c r="E28" s="9">
        <v>104.4</v>
      </c>
      <c r="F28" s="10">
        <f>(D28-E28)/E28</f>
        <v>1.5292145593869733</v>
      </c>
      <c r="G28" s="11">
        <v>39</v>
      </c>
      <c r="H28" s="11">
        <v>1</v>
      </c>
      <c r="I28" s="12">
        <f t="shared" si="2"/>
        <v>39</v>
      </c>
      <c r="J28" s="11">
        <v>1</v>
      </c>
      <c r="K28" s="12">
        <v>3</v>
      </c>
      <c r="L28" s="9">
        <v>1737.03</v>
      </c>
      <c r="M28" s="11">
        <v>307</v>
      </c>
      <c r="N28" s="13">
        <v>46136</v>
      </c>
      <c r="O28" s="39" t="s">
        <v>183</v>
      </c>
      <c r="P28" s="42"/>
    </row>
    <row r="29" spans="1:16" s="1" customFormat="1" ht="25.2" customHeight="1">
      <c r="A29" s="7">
        <v>27</v>
      </c>
      <c r="B29" s="19" t="s">
        <v>13</v>
      </c>
      <c r="C29" s="15" t="s">
        <v>117</v>
      </c>
      <c r="D29" s="16">
        <v>230.5</v>
      </c>
      <c r="E29" s="16" t="s">
        <v>13</v>
      </c>
      <c r="F29" s="17" t="s">
        <v>13</v>
      </c>
      <c r="G29" s="18">
        <v>35</v>
      </c>
      <c r="H29" s="18">
        <v>2</v>
      </c>
      <c r="I29" s="19">
        <f t="shared" si="2"/>
        <v>17.5</v>
      </c>
      <c r="J29" s="18">
        <v>2</v>
      </c>
      <c r="K29" s="19" t="s">
        <v>13</v>
      </c>
      <c r="L29" s="16">
        <v>15944</v>
      </c>
      <c r="M29" s="18">
        <v>2302</v>
      </c>
      <c r="N29" s="20">
        <v>46059</v>
      </c>
      <c r="O29" s="40" t="s">
        <v>51</v>
      </c>
      <c r="P29" s="51"/>
    </row>
    <row r="30" spans="1:16" s="1" customFormat="1" ht="25.2" customHeight="1">
      <c r="A30" s="7">
        <v>28</v>
      </c>
      <c r="B30" s="19" t="s">
        <v>13</v>
      </c>
      <c r="C30" s="15" t="s">
        <v>230</v>
      </c>
      <c r="D30" s="16">
        <v>206.45</v>
      </c>
      <c r="E30" s="16" t="s">
        <v>13</v>
      </c>
      <c r="F30" s="17" t="s">
        <v>13</v>
      </c>
      <c r="G30" s="18">
        <v>21</v>
      </c>
      <c r="H30" s="18">
        <v>2</v>
      </c>
      <c r="I30" s="19">
        <f t="shared" si="2"/>
        <v>10.5</v>
      </c>
      <c r="J30" s="18">
        <v>2</v>
      </c>
      <c r="K30" s="19" t="s">
        <v>13</v>
      </c>
      <c r="L30" s="16">
        <v>14258</v>
      </c>
      <c r="M30" s="18">
        <v>2424</v>
      </c>
      <c r="N30" s="20">
        <v>46122</v>
      </c>
      <c r="O30" s="40" t="s">
        <v>51</v>
      </c>
      <c r="P30" s="51"/>
    </row>
    <row r="31" spans="1:16" ht="25.2" customHeight="1">
      <c r="A31" s="7">
        <v>29</v>
      </c>
      <c r="B31" s="12">
        <v>34</v>
      </c>
      <c r="C31" s="8" t="s">
        <v>233</v>
      </c>
      <c r="D31" s="9">
        <v>160.4</v>
      </c>
      <c r="E31" s="9">
        <v>65</v>
      </c>
      <c r="F31" s="10">
        <f>(D31-E31)/E31</f>
        <v>1.4676923076923079</v>
      </c>
      <c r="G31" s="11">
        <v>18</v>
      </c>
      <c r="H31" s="11">
        <v>3</v>
      </c>
      <c r="I31" s="12">
        <f t="shared" si="2"/>
        <v>6</v>
      </c>
      <c r="J31" s="11">
        <v>3</v>
      </c>
      <c r="K31" s="12" t="s">
        <v>13</v>
      </c>
      <c r="L31" s="9">
        <v>25850.639999999999</v>
      </c>
      <c r="M31" s="11">
        <v>3519</v>
      </c>
      <c r="N31" s="13">
        <v>46104</v>
      </c>
      <c r="O31" s="39" t="s">
        <v>47</v>
      </c>
      <c r="P31" s="42"/>
    </row>
    <row r="32" spans="1:16" ht="25.2" customHeight="1">
      <c r="A32" s="7">
        <v>30</v>
      </c>
      <c r="B32" s="10" t="s">
        <v>13</v>
      </c>
      <c r="C32" s="8" t="s">
        <v>228</v>
      </c>
      <c r="D32" s="9">
        <v>154</v>
      </c>
      <c r="E32" s="9" t="s">
        <v>13</v>
      </c>
      <c r="F32" s="10" t="s">
        <v>13</v>
      </c>
      <c r="G32" s="11">
        <v>26</v>
      </c>
      <c r="H32" s="11">
        <v>1</v>
      </c>
      <c r="I32" s="12">
        <f t="shared" si="2"/>
        <v>26</v>
      </c>
      <c r="J32" s="11">
        <v>1</v>
      </c>
      <c r="K32" s="12" t="s">
        <v>13</v>
      </c>
      <c r="L32" s="9">
        <v>202896.74</v>
      </c>
      <c r="M32" s="11">
        <v>36801</v>
      </c>
      <c r="N32" s="13">
        <v>45905</v>
      </c>
      <c r="O32" s="39" t="s">
        <v>46</v>
      </c>
      <c r="P32" s="42"/>
    </row>
    <row r="33" spans="1:16" s="1" customFormat="1" ht="25.2" customHeight="1">
      <c r="A33" s="7">
        <v>31</v>
      </c>
      <c r="B33" s="19">
        <v>40</v>
      </c>
      <c r="C33" s="15" t="s">
        <v>198</v>
      </c>
      <c r="D33" s="16">
        <v>143.5</v>
      </c>
      <c r="E33" s="16">
        <v>23.5</v>
      </c>
      <c r="F33" s="17">
        <f>(D33-E33)/E33</f>
        <v>5.1063829787234045</v>
      </c>
      <c r="G33" s="18">
        <v>23</v>
      </c>
      <c r="H33" s="18">
        <v>1</v>
      </c>
      <c r="I33" s="19">
        <f t="shared" si="2"/>
        <v>23</v>
      </c>
      <c r="J33" s="18">
        <v>1</v>
      </c>
      <c r="K33" s="19" t="s">
        <v>13</v>
      </c>
      <c r="L33" s="9">
        <v>1988</v>
      </c>
      <c r="M33" s="11">
        <v>292</v>
      </c>
      <c r="N33" s="20">
        <v>46104</v>
      </c>
      <c r="O33" s="40" t="s">
        <v>47</v>
      </c>
      <c r="P33" s="51"/>
    </row>
    <row r="34" spans="1:16" s="1" customFormat="1" ht="25.2" customHeight="1">
      <c r="A34" s="7">
        <v>32</v>
      </c>
      <c r="B34" s="12" t="s">
        <v>13</v>
      </c>
      <c r="C34" s="8" t="s">
        <v>270</v>
      </c>
      <c r="D34" s="9">
        <v>128</v>
      </c>
      <c r="E34" s="9" t="s">
        <v>13</v>
      </c>
      <c r="F34" s="10" t="s">
        <v>13</v>
      </c>
      <c r="G34" s="11">
        <v>20</v>
      </c>
      <c r="H34" s="11">
        <v>1</v>
      </c>
      <c r="I34" s="12">
        <f t="shared" si="2"/>
        <v>20</v>
      </c>
      <c r="J34" s="11">
        <v>1</v>
      </c>
      <c r="K34" s="12" t="s">
        <v>13</v>
      </c>
      <c r="L34" s="9">
        <v>34565.199999999997</v>
      </c>
      <c r="M34" s="11">
        <v>5393</v>
      </c>
      <c r="N34" s="13">
        <v>45926</v>
      </c>
      <c r="O34" s="39" t="s">
        <v>47</v>
      </c>
      <c r="P34" s="42"/>
    </row>
    <row r="35" spans="1:16" s="1" customFormat="1" ht="25.2" customHeight="1">
      <c r="A35" s="7">
        <v>33</v>
      </c>
      <c r="B35" s="12">
        <v>23</v>
      </c>
      <c r="C35" s="8" t="s">
        <v>78</v>
      </c>
      <c r="D35" s="9">
        <v>109.9</v>
      </c>
      <c r="E35" s="9">
        <v>181.39</v>
      </c>
      <c r="F35" s="10">
        <f>(D35-E35)/E35</f>
        <v>-0.39412316004189857</v>
      </c>
      <c r="G35" s="11">
        <v>13</v>
      </c>
      <c r="H35" s="11">
        <v>1</v>
      </c>
      <c r="I35" s="12">
        <f t="shared" si="2"/>
        <v>13</v>
      </c>
      <c r="J35" s="11">
        <v>1</v>
      </c>
      <c r="K35" s="12">
        <v>16</v>
      </c>
      <c r="L35" s="9">
        <v>152549.46</v>
      </c>
      <c r="M35" s="11">
        <v>21129</v>
      </c>
      <c r="N35" s="13">
        <v>46038</v>
      </c>
      <c r="O35" s="39" t="s">
        <v>47</v>
      </c>
      <c r="P35" s="42"/>
    </row>
    <row r="36" spans="1:16" s="1" customFormat="1" ht="25.2" customHeight="1">
      <c r="A36" s="7">
        <v>34</v>
      </c>
      <c r="B36" s="12" t="s">
        <v>13</v>
      </c>
      <c r="C36" s="8" t="s">
        <v>224</v>
      </c>
      <c r="D36" s="9">
        <v>84</v>
      </c>
      <c r="E36" s="9" t="s">
        <v>13</v>
      </c>
      <c r="F36" s="10" t="s">
        <v>13</v>
      </c>
      <c r="G36" s="11">
        <v>12</v>
      </c>
      <c r="H36" s="11">
        <v>5</v>
      </c>
      <c r="I36" s="12">
        <f t="shared" si="2"/>
        <v>2.4</v>
      </c>
      <c r="J36" s="11">
        <v>1</v>
      </c>
      <c r="K36" s="12" t="s">
        <v>13</v>
      </c>
      <c r="L36" s="9">
        <v>31218.63</v>
      </c>
      <c r="M36" s="11">
        <v>5312</v>
      </c>
      <c r="N36" s="13">
        <v>45919</v>
      </c>
      <c r="O36" s="39" t="s">
        <v>86</v>
      </c>
      <c r="P36" s="42"/>
    </row>
    <row r="37" spans="1:16" ht="25.2" customHeight="1">
      <c r="A37" s="7">
        <v>35</v>
      </c>
      <c r="B37" s="12">
        <v>41</v>
      </c>
      <c r="C37" s="8" t="s">
        <v>252</v>
      </c>
      <c r="D37" s="9">
        <v>57</v>
      </c>
      <c r="E37" s="9">
        <v>20</v>
      </c>
      <c r="F37" s="10">
        <f>(D37-E37)/E37</f>
        <v>1.85</v>
      </c>
      <c r="G37" s="11">
        <v>13</v>
      </c>
      <c r="H37" s="11">
        <v>1</v>
      </c>
      <c r="I37" s="12">
        <f t="shared" si="2"/>
        <v>13</v>
      </c>
      <c r="J37" s="11">
        <v>1</v>
      </c>
      <c r="K37" s="12" t="s">
        <v>13</v>
      </c>
      <c r="L37" s="9">
        <v>3145.05</v>
      </c>
      <c r="M37" s="11">
        <v>427</v>
      </c>
      <c r="N37" s="13">
        <v>46104</v>
      </c>
      <c r="O37" s="39" t="s">
        <v>47</v>
      </c>
      <c r="P37" s="42"/>
    </row>
    <row r="38" spans="1:16" ht="25.2" customHeight="1">
      <c r="A38" s="7">
        <v>36</v>
      </c>
      <c r="B38" s="19" t="s">
        <v>13</v>
      </c>
      <c r="C38" s="15" t="s">
        <v>274</v>
      </c>
      <c r="D38" s="16">
        <v>54</v>
      </c>
      <c r="E38" s="16" t="s">
        <v>13</v>
      </c>
      <c r="F38" s="17" t="s">
        <v>13</v>
      </c>
      <c r="G38" s="18">
        <v>12</v>
      </c>
      <c r="H38" s="18">
        <v>1</v>
      </c>
      <c r="I38" s="19">
        <f t="shared" si="2"/>
        <v>12</v>
      </c>
      <c r="J38" s="18">
        <v>1</v>
      </c>
      <c r="K38" s="19" t="s">
        <v>13</v>
      </c>
      <c r="L38" s="16">
        <v>1060</v>
      </c>
      <c r="M38" s="18">
        <v>177</v>
      </c>
      <c r="N38" s="20">
        <v>46143</v>
      </c>
      <c r="O38" s="40" t="s">
        <v>51</v>
      </c>
      <c r="P38" s="51"/>
    </row>
    <row r="39" spans="1:16" ht="25.2" customHeight="1">
      <c r="A39" s="7">
        <v>37</v>
      </c>
      <c r="B39" s="12">
        <v>38</v>
      </c>
      <c r="C39" s="8" t="s">
        <v>195</v>
      </c>
      <c r="D39" s="9">
        <v>42</v>
      </c>
      <c r="E39" s="9">
        <v>40</v>
      </c>
      <c r="F39" s="10">
        <f>(D39-E39)/E39</f>
        <v>0.05</v>
      </c>
      <c r="G39" s="11">
        <v>10</v>
      </c>
      <c r="H39" s="11">
        <v>1</v>
      </c>
      <c r="I39" s="12">
        <f t="shared" si="2"/>
        <v>10</v>
      </c>
      <c r="J39" s="11">
        <v>1</v>
      </c>
      <c r="K39" s="12" t="s">
        <v>13</v>
      </c>
      <c r="L39" s="9">
        <v>3776.88</v>
      </c>
      <c r="M39" s="11">
        <v>592</v>
      </c>
      <c r="N39" s="13">
        <v>46104</v>
      </c>
      <c r="O39" s="39" t="s">
        <v>47</v>
      </c>
      <c r="P39" s="42"/>
    </row>
    <row r="40" spans="1:16" ht="25.2" customHeight="1">
      <c r="A40" s="7">
        <v>38</v>
      </c>
      <c r="B40" s="12">
        <v>24</v>
      </c>
      <c r="C40" s="8" t="s">
        <v>199</v>
      </c>
      <c r="D40" s="9">
        <v>35</v>
      </c>
      <c r="E40" s="9">
        <v>172.14</v>
      </c>
      <c r="F40" s="10">
        <f>(D40-E40)/E40</f>
        <v>-0.79667712327175555</v>
      </c>
      <c r="G40" s="11">
        <v>6</v>
      </c>
      <c r="H40" s="11">
        <v>1</v>
      </c>
      <c r="I40" s="12">
        <f t="shared" si="2"/>
        <v>6</v>
      </c>
      <c r="J40" s="11">
        <v>1</v>
      </c>
      <c r="K40" s="12">
        <v>8</v>
      </c>
      <c r="L40" s="9">
        <v>2231.2399999999998</v>
      </c>
      <c r="M40" s="11">
        <v>401</v>
      </c>
      <c r="N40" s="13">
        <v>46104</v>
      </c>
      <c r="O40" s="39" t="s">
        <v>47</v>
      </c>
      <c r="P40" s="42"/>
    </row>
    <row r="41" spans="1:16" s="1" customFormat="1" ht="25.2" customHeight="1">
      <c r="A41" s="7">
        <v>39</v>
      </c>
      <c r="B41" s="12">
        <v>33</v>
      </c>
      <c r="C41" s="8" t="s">
        <v>194</v>
      </c>
      <c r="D41" s="9">
        <v>12</v>
      </c>
      <c r="E41" s="9">
        <v>78.48</v>
      </c>
      <c r="F41" s="10">
        <f>(D41-E41)/E41</f>
        <v>-0.84709480122324154</v>
      </c>
      <c r="G41" s="11">
        <v>2</v>
      </c>
      <c r="H41" s="11">
        <v>1</v>
      </c>
      <c r="I41" s="12">
        <f t="shared" si="2"/>
        <v>2</v>
      </c>
      <c r="J41" s="11">
        <v>1</v>
      </c>
      <c r="K41" s="12" t="s">
        <v>13</v>
      </c>
      <c r="L41" s="9">
        <v>5426.24</v>
      </c>
      <c r="M41" s="11">
        <v>778</v>
      </c>
      <c r="N41" s="13">
        <v>46104</v>
      </c>
      <c r="O41" s="39" t="s">
        <v>47</v>
      </c>
      <c r="P41" s="42"/>
    </row>
    <row r="42" spans="1:16" ht="24.75" customHeight="1">
      <c r="A42" s="59"/>
      <c r="B42" s="59" t="s">
        <v>14</v>
      </c>
      <c r="C42" s="75" t="s">
        <v>275</v>
      </c>
      <c r="D42" s="74">
        <f>SUBTOTAL(109,Table1324567891011121314151617181920[Pajamos 
(GBO)])</f>
        <v>411561.39000000013</v>
      </c>
      <c r="E42" s="27" t="s">
        <v>265</v>
      </c>
      <c r="F42" s="62">
        <f>(D42-E42)/E42</f>
        <v>9.0731595490372061E-2</v>
      </c>
      <c r="G42" s="34">
        <f>SUBTOTAL(109,Table1324567891011121314151617181920[Žiūrovų sk. 
(ADM)])</f>
        <v>52097</v>
      </c>
      <c r="H42" s="34"/>
      <c r="I42" s="63"/>
      <c r="J42" s="59"/>
      <c r="K42" s="63"/>
      <c r="L42" s="64"/>
      <c r="M42" s="65"/>
      <c r="N42" s="63"/>
      <c r="O42" s="66"/>
      <c r="P42" s="68"/>
    </row>
    <row r="43" spans="1:16"/>
    <row r="44" spans="1:16"/>
    <row r="45" spans="1:16"/>
    <row r="46" spans="1:16"/>
    <row r="47" spans="1:16"/>
    <row r="48" spans="1:1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63372-D01A-48A8-8228-DDB2BB05BCC5}">
  <sheetPr>
    <pageSetUpPr fitToPage="1"/>
  </sheetPr>
  <dimension ref="A1:XFC272"/>
  <sheetViews>
    <sheetView topLeftCell="A9" zoomScale="60" zoomScaleNormal="60" workbookViewId="0">
      <selection activeCell="O16" sqref="O16"/>
    </sheetView>
  </sheetViews>
  <sheetFormatPr defaultColWidth="0" defaultRowHeight="11.4" zeroHeight="1"/>
  <cols>
    <col min="1" max="1" width="4.75" style="44" customWidth="1"/>
    <col min="2" max="2" width="4.75" style="69" customWidth="1"/>
    <col min="3" max="3" width="30.75" style="70" customWidth="1"/>
    <col min="4" max="5" width="20.75" style="71" customWidth="1"/>
    <col min="6" max="6" width="20.75" style="44" customWidth="1"/>
    <col min="7" max="8" width="20.75" style="72" customWidth="1"/>
    <col min="9" max="9" width="20.75" style="44" customWidth="1"/>
    <col min="10" max="10" width="20.75" style="72" customWidth="1"/>
    <col min="11" max="11" width="20.75" style="69" customWidth="1"/>
    <col min="12" max="12" width="20.75" style="71" customWidth="1"/>
    <col min="13" max="13" width="20.75" style="72" customWidth="1"/>
    <col min="14" max="14" width="20.75" style="73" customWidth="1"/>
    <col min="15" max="15" width="30.75" style="70" customWidth="1"/>
    <col min="16" max="16383" width="18.25" style="44" hidden="1"/>
    <col min="16384" max="16384" width="5.375" style="44" hidden="1"/>
  </cols>
  <sheetData>
    <row r="1" spans="1:16" s="58" customFormat="1" ht="40.5" customHeight="1" thickBot="1">
      <c r="A1" s="98" t="s">
        <v>254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6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1" customFormat="1" ht="25.2" customHeight="1">
      <c r="A3" s="14">
        <v>1</v>
      </c>
      <c r="B3" s="19" t="s">
        <v>49</v>
      </c>
      <c r="C3" s="15" t="s">
        <v>263</v>
      </c>
      <c r="D3" s="16">
        <v>221103.28</v>
      </c>
      <c r="E3" s="16" t="s">
        <v>13</v>
      </c>
      <c r="F3" s="17" t="s">
        <v>13</v>
      </c>
      <c r="G3" s="18">
        <v>24933</v>
      </c>
      <c r="H3" s="18">
        <v>250</v>
      </c>
      <c r="I3" s="19">
        <f>G3/H3</f>
        <v>99.731999999999999</v>
      </c>
      <c r="J3" s="18">
        <v>21</v>
      </c>
      <c r="K3" s="19">
        <v>1</v>
      </c>
      <c r="L3" s="16">
        <v>287747.61</v>
      </c>
      <c r="M3" s="18">
        <v>32948</v>
      </c>
      <c r="N3" s="20">
        <v>46143</v>
      </c>
      <c r="O3" s="40" t="s">
        <v>37</v>
      </c>
      <c r="P3" s="51"/>
    </row>
    <row r="4" spans="1:16" s="21" customFormat="1" ht="25.2" customHeight="1">
      <c r="A4" s="14">
        <v>2</v>
      </c>
      <c r="B4" s="19">
        <v>1</v>
      </c>
      <c r="C4" s="15" t="s">
        <v>251</v>
      </c>
      <c r="D4" s="16">
        <v>60101.41</v>
      </c>
      <c r="E4" s="16">
        <v>129224.24</v>
      </c>
      <c r="F4" s="17">
        <f>(D4-E4)/E4</f>
        <v>-0.53490606715891698</v>
      </c>
      <c r="G4" s="18">
        <v>7429</v>
      </c>
      <c r="H4" s="18">
        <v>130</v>
      </c>
      <c r="I4" s="19">
        <f>G4/H4</f>
        <v>57.146153846153844</v>
      </c>
      <c r="J4" s="18">
        <v>17</v>
      </c>
      <c r="K4" s="19">
        <v>2</v>
      </c>
      <c r="L4" s="16">
        <v>271912.71000000002</v>
      </c>
      <c r="M4" s="18">
        <v>32175</v>
      </c>
      <c r="N4" s="20">
        <v>46136</v>
      </c>
      <c r="O4" s="40" t="s">
        <v>207</v>
      </c>
      <c r="P4" s="51"/>
    </row>
    <row r="5" spans="1:16" s="21" customFormat="1" ht="25.2" customHeight="1">
      <c r="A5" s="14">
        <v>3</v>
      </c>
      <c r="B5" s="19">
        <v>2</v>
      </c>
      <c r="C5" s="15" t="s">
        <v>216</v>
      </c>
      <c r="D5" s="16">
        <v>21642.37</v>
      </c>
      <c r="E5" s="16">
        <v>51031.56</v>
      </c>
      <c r="F5" s="17">
        <f>(D5-E5)/E5</f>
        <v>-0.57590224559076775</v>
      </c>
      <c r="G5" s="18">
        <v>3324</v>
      </c>
      <c r="H5" s="18">
        <v>103</v>
      </c>
      <c r="I5" s="19">
        <f>G5/H5</f>
        <v>32.271844660194176</v>
      </c>
      <c r="J5" s="18">
        <v>18</v>
      </c>
      <c r="K5" s="19">
        <v>6</v>
      </c>
      <c r="L5" s="16">
        <v>419116.46</v>
      </c>
      <c r="M5" s="18">
        <v>66800</v>
      </c>
      <c r="N5" s="20">
        <v>46113</v>
      </c>
      <c r="O5" s="40" t="s">
        <v>207</v>
      </c>
      <c r="P5" s="51"/>
    </row>
    <row r="6" spans="1:16" s="21" customFormat="1" ht="25.2" customHeight="1">
      <c r="A6" s="14">
        <v>4</v>
      </c>
      <c r="B6" s="19">
        <v>3</v>
      </c>
      <c r="C6" s="15" t="s">
        <v>184</v>
      </c>
      <c r="D6" s="16">
        <v>13449.95</v>
      </c>
      <c r="E6" s="16">
        <v>36228.68</v>
      </c>
      <c r="F6" s="17">
        <f>(D6-E6)/E6</f>
        <v>-0.62874854949172865</v>
      </c>
      <c r="G6" s="18">
        <v>1586</v>
      </c>
      <c r="H6" s="18">
        <v>54</v>
      </c>
      <c r="I6" s="19">
        <f>G6/H6</f>
        <v>29.37037037037037</v>
      </c>
      <c r="J6" s="18">
        <v>9</v>
      </c>
      <c r="K6" s="19">
        <v>7</v>
      </c>
      <c r="L6" s="16">
        <v>643285.49</v>
      </c>
      <c r="M6" s="18">
        <v>71749</v>
      </c>
      <c r="N6" s="20">
        <v>46101</v>
      </c>
      <c r="O6" s="40" t="s">
        <v>39</v>
      </c>
      <c r="P6" s="51"/>
    </row>
    <row r="7" spans="1:16" s="21" customFormat="1" ht="25.2" customHeight="1">
      <c r="A7" s="14">
        <v>5</v>
      </c>
      <c r="B7" s="19" t="s">
        <v>49</v>
      </c>
      <c r="C7" s="15" t="s">
        <v>261</v>
      </c>
      <c r="D7" s="16">
        <v>12591.43</v>
      </c>
      <c r="E7" s="16" t="s">
        <v>13</v>
      </c>
      <c r="F7" s="17" t="s">
        <v>13</v>
      </c>
      <c r="G7" s="18">
        <v>1568</v>
      </c>
      <c r="H7" s="18">
        <v>56</v>
      </c>
      <c r="I7" s="19">
        <f>G7/H7</f>
        <v>28</v>
      </c>
      <c r="J7" s="18">
        <v>14</v>
      </c>
      <c r="K7" s="19">
        <v>1</v>
      </c>
      <c r="L7" s="16">
        <v>12591.43</v>
      </c>
      <c r="M7" s="18">
        <v>1568</v>
      </c>
      <c r="N7" s="20">
        <v>46143</v>
      </c>
      <c r="O7" s="40" t="s">
        <v>42</v>
      </c>
      <c r="P7" s="51"/>
    </row>
    <row r="8" spans="1:16" s="21" customFormat="1" ht="25.2" customHeight="1">
      <c r="A8" s="14">
        <v>6</v>
      </c>
      <c r="B8" s="19">
        <v>4</v>
      </c>
      <c r="C8" s="15" t="s">
        <v>248</v>
      </c>
      <c r="D8" s="16">
        <v>10203</v>
      </c>
      <c r="E8" s="16">
        <v>29422</v>
      </c>
      <c r="F8" s="17">
        <f>(D8-E8)/E8</f>
        <v>-0.65321867989939497</v>
      </c>
      <c r="G8" s="18">
        <v>1689</v>
      </c>
      <c r="H8" s="18" t="s">
        <v>13</v>
      </c>
      <c r="I8" s="19" t="s">
        <v>13</v>
      </c>
      <c r="J8" s="18">
        <v>16</v>
      </c>
      <c r="K8" s="19">
        <v>2</v>
      </c>
      <c r="L8" s="16">
        <v>46509</v>
      </c>
      <c r="M8" s="18">
        <v>8206</v>
      </c>
      <c r="N8" s="20">
        <v>46136</v>
      </c>
      <c r="O8" s="40" t="s">
        <v>44</v>
      </c>
      <c r="P8" s="51"/>
    </row>
    <row r="9" spans="1:16" s="21" customFormat="1" ht="25.2" customHeight="1">
      <c r="A9" s="14">
        <v>7</v>
      </c>
      <c r="B9" s="19">
        <v>7</v>
      </c>
      <c r="C9" s="15" t="s">
        <v>170</v>
      </c>
      <c r="D9" s="16">
        <v>8207.5</v>
      </c>
      <c r="E9" s="16">
        <v>14972.09</v>
      </c>
      <c r="F9" s="17">
        <f>(D9-E9)/E9</f>
        <v>-0.45181334068924245</v>
      </c>
      <c r="G9" s="18">
        <v>1310</v>
      </c>
      <c r="H9" s="18">
        <v>48</v>
      </c>
      <c r="I9" s="19">
        <f>G9/H9</f>
        <v>27.291666666666668</v>
      </c>
      <c r="J9" s="18">
        <v>10</v>
      </c>
      <c r="K9" s="19">
        <v>9</v>
      </c>
      <c r="L9" s="16">
        <v>368558.46</v>
      </c>
      <c r="M9" s="18">
        <v>61232</v>
      </c>
      <c r="N9" s="20">
        <v>46087</v>
      </c>
      <c r="O9" s="40" t="s">
        <v>37</v>
      </c>
      <c r="P9" s="51"/>
    </row>
    <row r="10" spans="1:16" s="21" customFormat="1" ht="25.2" customHeight="1">
      <c r="A10" s="14">
        <v>8</v>
      </c>
      <c r="B10" s="19" t="s">
        <v>49</v>
      </c>
      <c r="C10" s="15" t="s">
        <v>257</v>
      </c>
      <c r="D10" s="16">
        <v>7056.22</v>
      </c>
      <c r="E10" s="16" t="s">
        <v>13</v>
      </c>
      <c r="F10" s="17" t="s">
        <v>13</v>
      </c>
      <c r="G10" s="18">
        <v>1199</v>
      </c>
      <c r="H10" s="18">
        <v>87</v>
      </c>
      <c r="I10" s="19">
        <f>G10/H10</f>
        <v>13.781609195402298</v>
      </c>
      <c r="J10" s="18">
        <v>20</v>
      </c>
      <c r="K10" s="19">
        <v>1</v>
      </c>
      <c r="L10" s="16">
        <v>7056.22</v>
      </c>
      <c r="M10" s="18">
        <v>1199</v>
      </c>
      <c r="N10" s="20">
        <v>46143</v>
      </c>
      <c r="O10" s="40" t="s">
        <v>46</v>
      </c>
      <c r="P10" s="51"/>
    </row>
    <row r="11" spans="1:16" s="21" customFormat="1" ht="25.2" customHeight="1">
      <c r="A11" s="14">
        <v>9</v>
      </c>
      <c r="B11" s="19">
        <v>5</v>
      </c>
      <c r="C11" s="15" t="s">
        <v>235</v>
      </c>
      <c r="D11" s="16">
        <v>6089.95</v>
      </c>
      <c r="E11" s="16">
        <v>25459.35</v>
      </c>
      <c r="F11" s="17">
        <f>(D11-E11)/E11</f>
        <v>-0.76079711383047877</v>
      </c>
      <c r="G11" s="18">
        <v>781</v>
      </c>
      <c r="H11" s="18">
        <v>41</v>
      </c>
      <c r="I11" s="19">
        <f>G11/H11</f>
        <v>19.048780487804876</v>
      </c>
      <c r="J11" s="18">
        <v>13</v>
      </c>
      <c r="K11" s="19">
        <v>4</v>
      </c>
      <c r="L11" s="16">
        <v>182325.68</v>
      </c>
      <c r="M11" s="18">
        <v>25265</v>
      </c>
      <c r="N11" s="20">
        <v>46122</v>
      </c>
      <c r="O11" s="40" t="s">
        <v>47</v>
      </c>
      <c r="P11" s="51"/>
    </row>
    <row r="12" spans="1:16" s="21" customFormat="1" ht="25.2" customHeight="1">
      <c r="A12" s="14">
        <v>10</v>
      </c>
      <c r="B12" s="19">
        <v>6</v>
      </c>
      <c r="C12" s="15" t="s">
        <v>239</v>
      </c>
      <c r="D12" s="16">
        <v>4718.82</v>
      </c>
      <c r="E12" s="16">
        <v>24268.86</v>
      </c>
      <c r="F12" s="17">
        <f>(D12-E12)/E12</f>
        <v>-0.80556070618891862</v>
      </c>
      <c r="G12" s="18">
        <v>570</v>
      </c>
      <c r="H12" s="18">
        <v>24</v>
      </c>
      <c r="I12" s="19">
        <f>G12/H12</f>
        <v>23.75</v>
      </c>
      <c r="J12" s="18">
        <v>7</v>
      </c>
      <c r="K12" s="19">
        <v>3</v>
      </c>
      <c r="L12" s="16">
        <v>85729.49</v>
      </c>
      <c r="M12" s="18">
        <v>11360</v>
      </c>
      <c r="N12" s="20">
        <v>46129</v>
      </c>
      <c r="O12" s="40" t="s">
        <v>55</v>
      </c>
      <c r="P12" s="51"/>
    </row>
    <row r="13" spans="1:16" s="21" customFormat="1" ht="25.2" customHeight="1">
      <c r="A13" s="14">
        <v>11</v>
      </c>
      <c r="B13" s="19" t="s">
        <v>49</v>
      </c>
      <c r="C13" s="15" t="s">
        <v>256</v>
      </c>
      <c r="D13" s="16">
        <v>4325</v>
      </c>
      <c r="E13" s="16" t="s">
        <v>13</v>
      </c>
      <c r="F13" s="17" t="s">
        <v>13</v>
      </c>
      <c r="G13" s="18">
        <v>548</v>
      </c>
      <c r="H13" s="18" t="s">
        <v>13</v>
      </c>
      <c r="I13" s="19" t="s">
        <v>13</v>
      </c>
      <c r="J13" s="18">
        <v>13</v>
      </c>
      <c r="K13" s="19">
        <v>1</v>
      </c>
      <c r="L13" s="16">
        <v>4325</v>
      </c>
      <c r="M13" s="18">
        <v>548</v>
      </c>
      <c r="N13" s="20">
        <v>46143</v>
      </c>
      <c r="O13" s="40" t="s">
        <v>44</v>
      </c>
      <c r="P13" s="51"/>
    </row>
    <row r="14" spans="1:16" s="21" customFormat="1" ht="25.2" customHeight="1">
      <c r="A14" s="14">
        <v>12</v>
      </c>
      <c r="B14" s="19" t="s">
        <v>53</v>
      </c>
      <c r="C14" s="15" t="s">
        <v>262</v>
      </c>
      <c r="D14" s="16">
        <v>1635.34</v>
      </c>
      <c r="E14" s="16" t="s">
        <v>13</v>
      </c>
      <c r="F14" s="17" t="s">
        <v>13</v>
      </c>
      <c r="G14" s="18">
        <v>242</v>
      </c>
      <c r="H14" s="18">
        <v>8</v>
      </c>
      <c r="I14" s="19">
        <f t="shared" ref="I14:I44" si="0">G14/H14</f>
        <v>30.25</v>
      </c>
      <c r="J14" s="18">
        <v>7</v>
      </c>
      <c r="K14" s="19">
        <v>0</v>
      </c>
      <c r="L14" s="16">
        <v>1635.34</v>
      </c>
      <c r="M14" s="18">
        <v>242</v>
      </c>
      <c r="N14" s="20" t="s">
        <v>45</v>
      </c>
      <c r="O14" s="40" t="s">
        <v>39</v>
      </c>
      <c r="P14" s="51"/>
    </row>
    <row r="15" spans="1:16" s="21" customFormat="1" ht="25.2" customHeight="1">
      <c r="A15" s="14">
        <v>13</v>
      </c>
      <c r="B15" s="19">
        <v>8</v>
      </c>
      <c r="C15" s="15" t="s">
        <v>240</v>
      </c>
      <c r="D15" s="16">
        <v>1487.8</v>
      </c>
      <c r="E15" s="16">
        <v>7541.81</v>
      </c>
      <c r="F15" s="17">
        <f t="shared" ref="F15:F26" si="1">(D15-E15)/E15</f>
        <v>-0.8027264012219878</v>
      </c>
      <c r="G15" s="18">
        <v>232</v>
      </c>
      <c r="H15" s="18">
        <v>19</v>
      </c>
      <c r="I15" s="19">
        <f t="shared" si="0"/>
        <v>12.210526315789474</v>
      </c>
      <c r="J15" s="18">
        <v>6</v>
      </c>
      <c r="K15" s="19">
        <v>3</v>
      </c>
      <c r="L15" s="16">
        <v>22176.99</v>
      </c>
      <c r="M15" s="18">
        <v>3723</v>
      </c>
      <c r="N15" s="20">
        <v>46129</v>
      </c>
      <c r="O15" s="40" t="s">
        <v>42</v>
      </c>
      <c r="P15" s="51"/>
    </row>
    <row r="16" spans="1:16" s="21" customFormat="1" ht="25.2" customHeight="1">
      <c r="A16" s="14">
        <v>14</v>
      </c>
      <c r="B16" s="19">
        <v>15</v>
      </c>
      <c r="C16" s="15" t="s">
        <v>191</v>
      </c>
      <c r="D16" s="16">
        <v>682.06</v>
      </c>
      <c r="E16" s="16">
        <v>984.5</v>
      </c>
      <c r="F16" s="17">
        <f t="shared" si="1"/>
        <v>-0.30720162519045208</v>
      </c>
      <c r="G16" s="18">
        <v>115</v>
      </c>
      <c r="H16" s="18">
        <v>5</v>
      </c>
      <c r="I16" s="19">
        <f t="shared" si="0"/>
        <v>23</v>
      </c>
      <c r="J16" s="18">
        <v>3</v>
      </c>
      <c r="K16" s="19">
        <v>7</v>
      </c>
      <c r="L16" s="16">
        <v>48289.62</v>
      </c>
      <c r="M16" s="18">
        <v>6803</v>
      </c>
      <c r="N16" s="20">
        <v>46104</v>
      </c>
      <c r="O16" s="40" t="s">
        <v>47</v>
      </c>
      <c r="P16" s="51"/>
    </row>
    <row r="17" spans="1:16" s="21" customFormat="1" ht="25.2" customHeight="1">
      <c r="A17" s="14">
        <v>15</v>
      </c>
      <c r="B17" s="19">
        <v>10</v>
      </c>
      <c r="C17" s="15" t="s">
        <v>206</v>
      </c>
      <c r="D17" s="16">
        <v>500.54</v>
      </c>
      <c r="E17" s="16">
        <v>5721.26</v>
      </c>
      <c r="F17" s="17">
        <f t="shared" si="1"/>
        <v>-0.91251227876376884</v>
      </c>
      <c r="G17" s="18">
        <v>66</v>
      </c>
      <c r="H17" s="18">
        <v>5</v>
      </c>
      <c r="I17" s="19">
        <f t="shared" si="0"/>
        <v>13.2</v>
      </c>
      <c r="J17" s="18">
        <v>3</v>
      </c>
      <c r="K17" s="19">
        <v>6</v>
      </c>
      <c r="L17" s="16">
        <v>171263.87</v>
      </c>
      <c r="M17" s="18">
        <v>22381</v>
      </c>
      <c r="N17" s="20">
        <v>46108</v>
      </c>
      <c r="O17" s="40" t="s">
        <v>207</v>
      </c>
      <c r="P17" s="51"/>
    </row>
    <row r="18" spans="1:16" s="21" customFormat="1" ht="25.2" customHeight="1">
      <c r="A18" s="14">
        <v>16</v>
      </c>
      <c r="B18" s="19">
        <v>28</v>
      </c>
      <c r="C18" s="15" t="s">
        <v>243</v>
      </c>
      <c r="D18" s="16">
        <v>408.68999999999994</v>
      </c>
      <c r="E18" s="16">
        <v>236.1</v>
      </c>
      <c r="F18" s="17">
        <f t="shared" si="1"/>
        <v>0.73100381194409125</v>
      </c>
      <c r="G18" s="18">
        <v>148</v>
      </c>
      <c r="H18" s="18">
        <v>3</v>
      </c>
      <c r="I18" s="19">
        <f t="shared" si="0"/>
        <v>49.333333333333336</v>
      </c>
      <c r="J18" s="18">
        <v>3</v>
      </c>
      <c r="K18" s="19">
        <v>3</v>
      </c>
      <c r="L18" s="16">
        <v>2431.3399999999997</v>
      </c>
      <c r="M18" s="18">
        <v>464</v>
      </c>
      <c r="N18" s="20">
        <v>46129</v>
      </c>
      <c r="O18" s="40" t="s">
        <v>43</v>
      </c>
      <c r="P18" s="51"/>
    </row>
    <row r="19" spans="1:16" s="21" customFormat="1" ht="25.2" customHeight="1">
      <c r="A19" s="14">
        <v>17</v>
      </c>
      <c r="B19" s="19">
        <v>9</v>
      </c>
      <c r="C19" s="15" t="s">
        <v>249</v>
      </c>
      <c r="D19" s="16">
        <v>325.97000000000003</v>
      </c>
      <c r="E19" s="16">
        <v>7322.33</v>
      </c>
      <c r="F19" s="17">
        <f t="shared" si="1"/>
        <v>-0.95548274934344668</v>
      </c>
      <c r="G19" s="18">
        <v>42</v>
      </c>
      <c r="H19" s="18">
        <v>5</v>
      </c>
      <c r="I19" s="19">
        <f t="shared" si="0"/>
        <v>8.4</v>
      </c>
      <c r="J19" s="18">
        <v>2</v>
      </c>
      <c r="K19" s="19">
        <v>2</v>
      </c>
      <c r="L19" s="16">
        <v>10118.620000000001</v>
      </c>
      <c r="M19" s="18">
        <v>1381</v>
      </c>
      <c r="N19" s="20">
        <v>46136</v>
      </c>
      <c r="O19" s="40" t="s">
        <v>42</v>
      </c>
      <c r="P19" s="51"/>
    </row>
    <row r="20" spans="1:16" s="21" customFormat="1" ht="25.2" customHeight="1">
      <c r="A20" s="14">
        <v>18</v>
      </c>
      <c r="B20" s="19">
        <v>17</v>
      </c>
      <c r="C20" s="15" t="s">
        <v>205</v>
      </c>
      <c r="D20" s="16">
        <v>258.27999999999997</v>
      </c>
      <c r="E20" s="16">
        <v>656.11</v>
      </c>
      <c r="F20" s="17">
        <f t="shared" si="1"/>
        <v>-0.60634649677645525</v>
      </c>
      <c r="G20" s="18">
        <v>43</v>
      </c>
      <c r="H20" s="18">
        <v>3</v>
      </c>
      <c r="I20" s="19">
        <f t="shared" si="0"/>
        <v>14.333333333333334</v>
      </c>
      <c r="J20" s="18">
        <v>1</v>
      </c>
      <c r="K20" s="19">
        <v>6</v>
      </c>
      <c r="L20" s="16">
        <v>27824.05</v>
      </c>
      <c r="M20" s="18">
        <v>5157</v>
      </c>
      <c r="N20" s="20">
        <v>46108</v>
      </c>
      <c r="O20" s="40" t="s">
        <v>94</v>
      </c>
      <c r="P20" s="51"/>
    </row>
    <row r="21" spans="1:16" ht="25.2" customHeight="1">
      <c r="A21" s="14">
        <v>19</v>
      </c>
      <c r="B21" s="19">
        <v>25</v>
      </c>
      <c r="C21" s="15" t="s">
        <v>213</v>
      </c>
      <c r="D21" s="16">
        <v>237</v>
      </c>
      <c r="E21" s="16">
        <v>293</v>
      </c>
      <c r="F21" s="17">
        <f t="shared" si="1"/>
        <v>-0.19112627986348124</v>
      </c>
      <c r="G21" s="18">
        <v>46</v>
      </c>
      <c r="H21" s="18">
        <v>3</v>
      </c>
      <c r="I21" s="19">
        <f t="shared" si="0"/>
        <v>15.333333333333334</v>
      </c>
      <c r="J21" s="18">
        <v>2</v>
      </c>
      <c r="K21" s="19">
        <v>5</v>
      </c>
      <c r="L21" s="16">
        <v>9769.83</v>
      </c>
      <c r="M21" s="18">
        <v>1595</v>
      </c>
      <c r="N21" s="20">
        <v>46115</v>
      </c>
      <c r="O21" s="40" t="s">
        <v>46</v>
      </c>
      <c r="P21" s="51"/>
    </row>
    <row r="22" spans="1:16" ht="25.2" customHeight="1">
      <c r="A22" s="14">
        <v>20</v>
      </c>
      <c r="B22" s="19">
        <v>21</v>
      </c>
      <c r="C22" s="15" t="s">
        <v>29</v>
      </c>
      <c r="D22" s="16">
        <v>206</v>
      </c>
      <c r="E22" s="16">
        <v>505</v>
      </c>
      <c r="F22" s="17">
        <f t="shared" si="1"/>
        <v>-0.59207920792079205</v>
      </c>
      <c r="G22" s="18">
        <v>34</v>
      </c>
      <c r="H22" s="18">
        <v>1</v>
      </c>
      <c r="I22" s="19">
        <f t="shared" si="0"/>
        <v>34</v>
      </c>
      <c r="J22" s="18">
        <v>1</v>
      </c>
      <c r="K22" s="19" t="s">
        <v>13</v>
      </c>
      <c r="L22" s="16">
        <v>32212.129999999997</v>
      </c>
      <c r="M22" s="18">
        <v>5660</v>
      </c>
      <c r="N22" s="20">
        <v>46024</v>
      </c>
      <c r="O22" s="40" t="s">
        <v>46</v>
      </c>
      <c r="P22" s="51"/>
    </row>
    <row r="23" spans="1:16" ht="25.2" customHeight="1">
      <c r="A23" s="14">
        <v>21</v>
      </c>
      <c r="B23" s="19">
        <v>11</v>
      </c>
      <c r="C23" s="15" t="s">
        <v>133</v>
      </c>
      <c r="D23" s="16">
        <v>184</v>
      </c>
      <c r="E23" s="16">
        <v>3751</v>
      </c>
      <c r="F23" s="17">
        <f t="shared" si="1"/>
        <v>-0.95094641428952276</v>
      </c>
      <c r="G23" s="18">
        <v>23</v>
      </c>
      <c r="H23" s="18">
        <v>1</v>
      </c>
      <c r="I23" s="19">
        <f t="shared" si="0"/>
        <v>23</v>
      </c>
      <c r="J23" s="18">
        <v>1</v>
      </c>
      <c r="K23" s="19">
        <v>12</v>
      </c>
      <c r="L23" s="16">
        <v>973310.21999999986</v>
      </c>
      <c r="M23" s="18">
        <v>121497</v>
      </c>
      <c r="N23" s="20">
        <v>46066</v>
      </c>
      <c r="O23" s="40" t="s">
        <v>134</v>
      </c>
      <c r="P23" s="51"/>
    </row>
    <row r="24" spans="1:16" ht="25.2" customHeight="1">
      <c r="A24" s="14">
        <v>22</v>
      </c>
      <c r="B24" s="19">
        <v>23</v>
      </c>
      <c r="C24" s="15" t="s">
        <v>192</v>
      </c>
      <c r="D24" s="16">
        <v>181.9</v>
      </c>
      <c r="E24" s="16">
        <v>471.15</v>
      </c>
      <c r="F24" s="17">
        <f t="shared" si="1"/>
        <v>-0.61392337896635896</v>
      </c>
      <c r="G24" s="18">
        <v>27</v>
      </c>
      <c r="H24" s="18">
        <v>2</v>
      </c>
      <c r="I24" s="19">
        <f t="shared" si="0"/>
        <v>13.5</v>
      </c>
      <c r="J24" s="18">
        <v>2</v>
      </c>
      <c r="K24" s="19">
        <v>7</v>
      </c>
      <c r="L24" s="16">
        <v>31384.86</v>
      </c>
      <c r="M24" s="18">
        <v>4273</v>
      </c>
      <c r="N24" s="20">
        <v>46104</v>
      </c>
      <c r="O24" s="40" t="s">
        <v>47</v>
      </c>
      <c r="P24" s="51"/>
    </row>
    <row r="25" spans="1:16" ht="25.2" customHeight="1">
      <c r="A25" s="14">
        <v>23</v>
      </c>
      <c r="B25" s="19">
        <v>33</v>
      </c>
      <c r="C25" s="15" t="s">
        <v>78</v>
      </c>
      <c r="D25" s="16">
        <v>181.39</v>
      </c>
      <c r="E25" s="16">
        <v>148.15</v>
      </c>
      <c r="F25" s="17">
        <f t="shared" si="1"/>
        <v>0.22436719541005723</v>
      </c>
      <c r="G25" s="18">
        <v>29</v>
      </c>
      <c r="H25" s="18">
        <v>2</v>
      </c>
      <c r="I25" s="19">
        <f t="shared" si="0"/>
        <v>14.5</v>
      </c>
      <c r="J25" s="18">
        <v>2</v>
      </c>
      <c r="K25" s="19">
        <v>15</v>
      </c>
      <c r="L25" s="16">
        <v>152439.56</v>
      </c>
      <c r="M25" s="18">
        <v>21116</v>
      </c>
      <c r="N25" s="20">
        <v>46038</v>
      </c>
      <c r="O25" s="40" t="s">
        <v>47</v>
      </c>
      <c r="P25" s="51"/>
    </row>
    <row r="26" spans="1:16" ht="25.2" customHeight="1">
      <c r="A26" s="14">
        <v>24</v>
      </c>
      <c r="B26" s="19">
        <v>27</v>
      </c>
      <c r="C26" s="15" t="s">
        <v>199</v>
      </c>
      <c r="D26" s="16">
        <v>172.14</v>
      </c>
      <c r="E26" s="16">
        <v>237.5</v>
      </c>
      <c r="F26" s="17">
        <f t="shared" si="1"/>
        <v>-0.27520000000000006</v>
      </c>
      <c r="G26" s="18">
        <v>30</v>
      </c>
      <c r="H26" s="18">
        <v>3</v>
      </c>
      <c r="I26" s="19">
        <f t="shared" si="0"/>
        <v>10</v>
      </c>
      <c r="J26" s="18">
        <v>2</v>
      </c>
      <c r="K26" s="19">
        <v>7</v>
      </c>
      <c r="L26" s="16">
        <v>2196.2399999999998</v>
      </c>
      <c r="M26" s="18">
        <v>395</v>
      </c>
      <c r="N26" s="20">
        <v>46104</v>
      </c>
      <c r="O26" s="40" t="s">
        <v>47</v>
      </c>
      <c r="P26" s="51"/>
    </row>
    <row r="27" spans="1:16" ht="25.2" customHeight="1">
      <c r="A27" s="14">
        <v>25</v>
      </c>
      <c r="B27" s="19" t="s">
        <v>13</v>
      </c>
      <c r="C27" s="15" t="s">
        <v>258</v>
      </c>
      <c r="D27" s="16">
        <v>160.18</v>
      </c>
      <c r="E27" s="16" t="s">
        <v>13</v>
      </c>
      <c r="F27" s="17" t="s">
        <v>13</v>
      </c>
      <c r="G27" s="18">
        <v>23</v>
      </c>
      <c r="H27" s="18">
        <v>1</v>
      </c>
      <c r="I27" s="19">
        <f t="shared" si="0"/>
        <v>23</v>
      </c>
      <c r="J27" s="18">
        <v>1</v>
      </c>
      <c r="K27" s="19" t="s">
        <v>13</v>
      </c>
      <c r="L27" s="16">
        <v>28537.919999999998</v>
      </c>
      <c r="M27" s="18">
        <v>4580</v>
      </c>
      <c r="N27" s="20">
        <v>45012</v>
      </c>
      <c r="O27" s="40" t="s">
        <v>47</v>
      </c>
      <c r="P27" s="51"/>
    </row>
    <row r="28" spans="1:16" ht="25.2" customHeight="1">
      <c r="A28" s="14">
        <v>26</v>
      </c>
      <c r="B28" s="19" t="s">
        <v>13</v>
      </c>
      <c r="C28" s="15" t="s">
        <v>161</v>
      </c>
      <c r="D28" s="16">
        <v>152.03</v>
      </c>
      <c r="E28" s="16" t="s">
        <v>13</v>
      </c>
      <c r="F28" s="17" t="s">
        <v>13</v>
      </c>
      <c r="G28" s="18">
        <v>30</v>
      </c>
      <c r="H28" s="18">
        <v>1</v>
      </c>
      <c r="I28" s="19">
        <f t="shared" si="0"/>
        <v>30</v>
      </c>
      <c r="J28" s="18">
        <v>1</v>
      </c>
      <c r="K28" s="19" t="s">
        <v>13</v>
      </c>
      <c r="L28" s="16">
        <v>21949.07</v>
      </c>
      <c r="M28" s="18">
        <v>3161</v>
      </c>
      <c r="N28" s="20">
        <v>46080</v>
      </c>
      <c r="O28" s="40" t="s">
        <v>42</v>
      </c>
      <c r="P28" s="51"/>
    </row>
    <row r="29" spans="1:16" ht="25.2" customHeight="1">
      <c r="A29" s="14">
        <v>27</v>
      </c>
      <c r="B29" s="19">
        <v>34</v>
      </c>
      <c r="C29" s="15" t="s">
        <v>123</v>
      </c>
      <c r="D29" s="16">
        <v>114</v>
      </c>
      <c r="E29" s="16">
        <v>127.35</v>
      </c>
      <c r="F29" s="17">
        <f>(D29-E29)/E29</f>
        <v>-0.10482921083627793</v>
      </c>
      <c r="G29" s="18">
        <v>18</v>
      </c>
      <c r="H29" s="18">
        <v>1</v>
      </c>
      <c r="I29" s="19">
        <f t="shared" si="0"/>
        <v>18</v>
      </c>
      <c r="J29" s="18">
        <v>1</v>
      </c>
      <c r="K29" s="19">
        <v>12</v>
      </c>
      <c r="L29" s="16">
        <v>523372.41</v>
      </c>
      <c r="M29" s="18">
        <v>62073</v>
      </c>
      <c r="N29" s="20">
        <v>46066</v>
      </c>
      <c r="O29" s="40" t="s">
        <v>55</v>
      </c>
      <c r="P29" s="51"/>
    </row>
    <row r="30" spans="1:16" ht="25.2" customHeight="1">
      <c r="A30" s="14">
        <v>28</v>
      </c>
      <c r="B30" s="19">
        <v>30</v>
      </c>
      <c r="C30" s="15" t="s">
        <v>84</v>
      </c>
      <c r="D30" s="16">
        <v>112.42</v>
      </c>
      <c r="E30" s="16">
        <v>209.54</v>
      </c>
      <c r="F30" s="17">
        <f>(D30-E30)/E30</f>
        <v>-0.46349145747828574</v>
      </c>
      <c r="G30" s="18">
        <v>24</v>
      </c>
      <c r="H30" s="18">
        <v>1</v>
      </c>
      <c r="I30" s="19">
        <f t="shared" si="0"/>
        <v>24</v>
      </c>
      <c r="J30" s="18">
        <v>1</v>
      </c>
      <c r="K30" s="19" t="s">
        <v>13</v>
      </c>
      <c r="L30" s="16">
        <v>40794.32</v>
      </c>
      <c r="M30" s="18">
        <v>6472</v>
      </c>
      <c r="N30" s="20">
        <v>46038</v>
      </c>
      <c r="O30" s="40" t="s">
        <v>207</v>
      </c>
      <c r="P30" s="51"/>
    </row>
    <row r="31" spans="1:16" ht="25.2" customHeight="1">
      <c r="A31" s="14">
        <v>29</v>
      </c>
      <c r="B31" s="19" t="s">
        <v>13</v>
      </c>
      <c r="C31" s="15" t="s">
        <v>196</v>
      </c>
      <c r="D31" s="16">
        <v>107</v>
      </c>
      <c r="E31" s="16" t="s">
        <v>13</v>
      </c>
      <c r="F31" s="17" t="s">
        <v>13</v>
      </c>
      <c r="G31" s="18">
        <v>17</v>
      </c>
      <c r="H31" s="18">
        <v>1</v>
      </c>
      <c r="I31" s="19">
        <f t="shared" si="0"/>
        <v>17</v>
      </c>
      <c r="J31" s="18">
        <v>1</v>
      </c>
      <c r="K31" s="19" t="s">
        <v>13</v>
      </c>
      <c r="L31" s="16">
        <v>3542.4</v>
      </c>
      <c r="M31" s="18">
        <v>524</v>
      </c>
      <c r="N31" s="20">
        <v>46104</v>
      </c>
      <c r="O31" s="40" t="s">
        <v>47</v>
      </c>
      <c r="P31" s="51"/>
    </row>
    <row r="32" spans="1:16" ht="25.2" customHeight="1">
      <c r="A32" s="14">
        <v>30</v>
      </c>
      <c r="B32" s="19">
        <v>31</v>
      </c>
      <c r="C32" s="15" t="s">
        <v>164</v>
      </c>
      <c r="D32" s="16">
        <v>105.02</v>
      </c>
      <c r="E32" s="16">
        <v>181.5</v>
      </c>
      <c r="F32" s="17">
        <f>(D32-E32)/E32</f>
        <v>-0.42137741046831956</v>
      </c>
      <c r="G32" s="18">
        <v>20</v>
      </c>
      <c r="H32" s="18">
        <v>1</v>
      </c>
      <c r="I32" s="19">
        <f t="shared" si="0"/>
        <v>20</v>
      </c>
      <c r="J32" s="18">
        <v>1</v>
      </c>
      <c r="K32" s="19" t="s">
        <v>13</v>
      </c>
      <c r="L32" s="16">
        <v>31590.6</v>
      </c>
      <c r="M32" s="18">
        <v>5435</v>
      </c>
      <c r="N32" s="20">
        <v>46080</v>
      </c>
      <c r="O32" s="40" t="s">
        <v>166</v>
      </c>
      <c r="P32" s="51"/>
    </row>
    <row r="33" spans="1:16" ht="25.2" customHeight="1">
      <c r="A33" s="14">
        <v>31</v>
      </c>
      <c r="B33" s="19">
        <v>14</v>
      </c>
      <c r="C33" s="15" t="s">
        <v>250</v>
      </c>
      <c r="D33" s="16">
        <v>104.4</v>
      </c>
      <c r="E33" s="16">
        <v>1010.57</v>
      </c>
      <c r="F33" s="17">
        <f>(D33-E33)/E33</f>
        <v>-0.89669196592022327</v>
      </c>
      <c r="G33" s="18">
        <v>17</v>
      </c>
      <c r="H33" s="18">
        <v>4</v>
      </c>
      <c r="I33" s="19">
        <f t="shared" si="0"/>
        <v>4.25</v>
      </c>
      <c r="J33" s="18">
        <v>2</v>
      </c>
      <c r="K33" s="19">
        <v>2</v>
      </c>
      <c r="L33" s="16">
        <v>1360.98</v>
      </c>
      <c r="M33" s="18">
        <v>238</v>
      </c>
      <c r="N33" s="20">
        <v>46136</v>
      </c>
      <c r="O33" s="40" t="s">
        <v>183</v>
      </c>
      <c r="P33" s="51"/>
    </row>
    <row r="34" spans="1:16" ht="25.2" customHeight="1">
      <c r="A34" s="14">
        <v>32</v>
      </c>
      <c r="B34" s="19">
        <v>18</v>
      </c>
      <c r="C34" s="15" t="s">
        <v>16</v>
      </c>
      <c r="D34" s="16">
        <v>100.14</v>
      </c>
      <c r="E34" s="16">
        <v>607.54</v>
      </c>
      <c r="F34" s="17">
        <f>(D34-E34)/E34</f>
        <v>-0.83517134674260129</v>
      </c>
      <c r="G34" s="18">
        <v>14</v>
      </c>
      <c r="H34" s="18">
        <v>3</v>
      </c>
      <c r="I34" s="19">
        <f t="shared" si="0"/>
        <v>4.666666666666667</v>
      </c>
      <c r="J34" s="18">
        <v>1</v>
      </c>
      <c r="K34" s="19" t="s">
        <v>13</v>
      </c>
      <c r="L34" s="16">
        <v>2039079.51</v>
      </c>
      <c r="M34" s="18">
        <v>224466</v>
      </c>
      <c r="N34" s="20">
        <v>46010</v>
      </c>
      <c r="O34" s="40" t="s">
        <v>37</v>
      </c>
      <c r="P34" s="51"/>
    </row>
    <row r="35" spans="1:16" ht="25.2" customHeight="1">
      <c r="A35" s="14">
        <v>33</v>
      </c>
      <c r="B35" s="19">
        <v>39</v>
      </c>
      <c r="C35" s="15" t="s">
        <v>194</v>
      </c>
      <c r="D35" s="16">
        <v>78.48</v>
      </c>
      <c r="E35" s="16">
        <v>105.62</v>
      </c>
      <c r="F35" s="17">
        <f>(D35-E35)/E35</f>
        <v>-0.25695890929748155</v>
      </c>
      <c r="G35" s="18">
        <v>16</v>
      </c>
      <c r="H35" s="18">
        <v>1</v>
      </c>
      <c r="I35" s="19">
        <f t="shared" si="0"/>
        <v>16</v>
      </c>
      <c r="J35" s="18">
        <v>1</v>
      </c>
      <c r="K35" s="19" t="s">
        <v>13</v>
      </c>
      <c r="L35" s="16">
        <v>5414.24</v>
      </c>
      <c r="M35" s="18">
        <v>776</v>
      </c>
      <c r="N35" s="20">
        <v>46104</v>
      </c>
      <c r="O35" s="40" t="s">
        <v>47</v>
      </c>
      <c r="P35" s="51"/>
    </row>
    <row r="36" spans="1:16" ht="25.2" customHeight="1">
      <c r="A36" s="14">
        <v>34</v>
      </c>
      <c r="B36" s="19">
        <v>26</v>
      </c>
      <c r="C36" s="15" t="s">
        <v>233</v>
      </c>
      <c r="D36" s="16">
        <v>65</v>
      </c>
      <c r="E36" s="16">
        <v>286.85000000000002</v>
      </c>
      <c r="F36" s="17">
        <f>(D36-E36)/E36</f>
        <v>-0.77340073208994253</v>
      </c>
      <c r="G36" s="18">
        <v>13</v>
      </c>
      <c r="H36" s="18">
        <v>1</v>
      </c>
      <c r="I36" s="19">
        <f t="shared" si="0"/>
        <v>13</v>
      </c>
      <c r="J36" s="18">
        <v>1</v>
      </c>
      <c r="K36" s="19" t="s">
        <v>13</v>
      </c>
      <c r="L36" s="16">
        <v>25403.79</v>
      </c>
      <c r="M36" s="18">
        <v>3432</v>
      </c>
      <c r="N36" s="20">
        <v>46104</v>
      </c>
      <c r="O36" s="40" t="s">
        <v>47</v>
      </c>
      <c r="P36" s="51"/>
    </row>
    <row r="37" spans="1:16" ht="25.2" customHeight="1">
      <c r="A37" s="14">
        <v>35</v>
      </c>
      <c r="B37" s="19" t="s">
        <v>13</v>
      </c>
      <c r="C37" s="15" t="s">
        <v>259</v>
      </c>
      <c r="D37" s="16">
        <v>54.62</v>
      </c>
      <c r="E37" s="16" t="s">
        <v>13</v>
      </c>
      <c r="F37" s="17" t="s">
        <v>13</v>
      </c>
      <c r="G37" s="18">
        <v>12</v>
      </c>
      <c r="H37" s="18">
        <v>1</v>
      </c>
      <c r="I37" s="19">
        <f t="shared" si="0"/>
        <v>12</v>
      </c>
      <c r="J37" s="18">
        <v>1</v>
      </c>
      <c r="K37" s="19" t="s">
        <v>13</v>
      </c>
      <c r="L37" s="16">
        <v>1742.25</v>
      </c>
      <c r="M37" s="18">
        <v>362</v>
      </c>
      <c r="N37" s="20">
        <v>44655</v>
      </c>
      <c r="O37" s="40" t="s">
        <v>47</v>
      </c>
      <c r="P37" s="51"/>
    </row>
    <row r="38" spans="1:16" ht="25.2" customHeight="1">
      <c r="A38" s="14">
        <v>36</v>
      </c>
      <c r="B38" s="19">
        <v>13</v>
      </c>
      <c r="C38" s="15" t="s">
        <v>187</v>
      </c>
      <c r="D38" s="16">
        <v>50</v>
      </c>
      <c r="E38" s="16">
        <v>1069.3399999999999</v>
      </c>
      <c r="F38" s="17">
        <f>(D38-E38)/E38</f>
        <v>-0.95324218676940919</v>
      </c>
      <c r="G38" s="18">
        <v>6</v>
      </c>
      <c r="H38" s="18">
        <v>1</v>
      </c>
      <c r="I38" s="19">
        <f t="shared" si="0"/>
        <v>6</v>
      </c>
      <c r="J38" s="18">
        <v>1</v>
      </c>
      <c r="K38" s="19">
        <v>7</v>
      </c>
      <c r="L38" s="16">
        <v>68975.55</v>
      </c>
      <c r="M38" s="18">
        <v>9330</v>
      </c>
      <c r="N38" s="20">
        <v>46101</v>
      </c>
      <c r="O38" s="40" t="s">
        <v>37</v>
      </c>
      <c r="P38" s="51"/>
    </row>
    <row r="39" spans="1:16" ht="25.2" customHeight="1">
      <c r="A39" s="14">
        <v>37</v>
      </c>
      <c r="B39" s="19">
        <v>43</v>
      </c>
      <c r="C39" s="15" t="s">
        <v>193</v>
      </c>
      <c r="D39" s="16">
        <v>42</v>
      </c>
      <c r="E39" s="16">
        <v>61.7</v>
      </c>
      <c r="F39" s="17">
        <f>(D39-E39)/E39</f>
        <v>-0.31928687196110211</v>
      </c>
      <c r="G39" s="18">
        <v>6</v>
      </c>
      <c r="H39" s="18">
        <v>1</v>
      </c>
      <c r="I39" s="19">
        <f t="shared" si="0"/>
        <v>6</v>
      </c>
      <c r="J39" s="18">
        <v>1</v>
      </c>
      <c r="K39" s="19">
        <v>7</v>
      </c>
      <c r="L39" s="16">
        <v>9185.6</v>
      </c>
      <c r="M39" s="18">
        <v>1195</v>
      </c>
      <c r="N39" s="20">
        <v>46104</v>
      </c>
      <c r="O39" s="40" t="s">
        <v>47</v>
      </c>
      <c r="P39" s="51"/>
    </row>
    <row r="40" spans="1:16" ht="25.2" customHeight="1">
      <c r="A40" s="14">
        <v>38</v>
      </c>
      <c r="B40" s="19">
        <v>48</v>
      </c>
      <c r="C40" s="15" t="s">
        <v>195</v>
      </c>
      <c r="D40" s="16">
        <v>40</v>
      </c>
      <c r="E40" s="16">
        <v>22</v>
      </c>
      <c r="F40" s="17">
        <f>(D40-E40)/E40</f>
        <v>0.81818181818181823</v>
      </c>
      <c r="G40" s="18">
        <v>8</v>
      </c>
      <c r="H40" s="18">
        <v>1</v>
      </c>
      <c r="I40" s="19">
        <f t="shared" si="0"/>
        <v>8</v>
      </c>
      <c r="J40" s="18">
        <v>1</v>
      </c>
      <c r="K40" s="19" t="s">
        <v>13</v>
      </c>
      <c r="L40" s="16">
        <v>3726.88</v>
      </c>
      <c r="M40" s="18">
        <v>580</v>
      </c>
      <c r="N40" s="20">
        <v>46104</v>
      </c>
      <c r="O40" s="40" t="s">
        <v>47</v>
      </c>
      <c r="P40" s="51"/>
    </row>
    <row r="41" spans="1:16" ht="25.2" customHeight="1">
      <c r="A41" s="14">
        <v>39</v>
      </c>
      <c r="B41" s="19" t="s">
        <v>13</v>
      </c>
      <c r="C41" s="15" t="s">
        <v>260</v>
      </c>
      <c r="D41" s="16">
        <v>29.5</v>
      </c>
      <c r="E41" s="16" t="s">
        <v>13</v>
      </c>
      <c r="F41" s="17" t="s">
        <v>13</v>
      </c>
      <c r="G41" s="18">
        <v>7</v>
      </c>
      <c r="H41" s="18">
        <v>1</v>
      </c>
      <c r="I41" s="19">
        <f t="shared" si="0"/>
        <v>7</v>
      </c>
      <c r="J41" s="18">
        <v>1</v>
      </c>
      <c r="K41" s="19" t="s">
        <v>13</v>
      </c>
      <c r="L41" s="16">
        <v>222.35</v>
      </c>
      <c r="M41" s="18">
        <v>35</v>
      </c>
      <c r="N41" s="20">
        <v>46104</v>
      </c>
      <c r="O41" s="40" t="s">
        <v>47</v>
      </c>
      <c r="P41" s="51"/>
    </row>
    <row r="42" spans="1:16" ht="25.2" customHeight="1">
      <c r="A42" s="14">
        <v>40</v>
      </c>
      <c r="B42" s="19" t="s">
        <v>13</v>
      </c>
      <c r="C42" s="15" t="s">
        <v>198</v>
      </c>
      <c r="D42" s="16">
        <v>23.5</v>
      </c>
      <c r="E42" s="16" t="s">
        <v>13</v>
      </c>
      <c r="F42" s="17" t="s">
        <v>13</v>
      </c>
      <c r="G42" s="18">
        <v>4</v>
      </c>
      <c r="H42" s="18">
        <v>1</v>
      </c>
      <c r="I42" s="19">
        <f t="shared" si="0"/>
        <v>4</v>
      </c>
      <c r="J42" s="18">
        <v>1</v>
      </c>
      <c r="K42" s="19" t="s">
        <v>13</v>
      </c>
      <c r="L42" s="16">
        <v>1844.5</v>
      </c>
      <c r="M42" s="18">
        <v>269</v>
      </c>
      <c r="N42" s="20">
        <v>46104</v>
      </c>
      <c r="O42" s="40" t="s">
        <v>47</v>
      </c>
      <c r="P42" s="51"/>
    </row>
    <row r="43" spans="1:16" ht="25.2" customHeight="1">
      <c r="A43" s="14">
        <v>41</v>
      </c>
      <c r="B43" s="19">
        <v>47</v>
      </c>
      <c r="C43" s="15" t="s">
        <v>252</v>
      </c>
      <c r="D43" s="16">
        <v>20</v>
      </c>
      <c r="E43" s="16">
        <v>24</v>
      </c>
      <c r="F43" s="17">
        <f>(D43-E43)/E43</f>
        <v>-0.16666666666666666</v>
      </c>
      <c r="G43" s="18">
        <v>4</v>
      </c>
      <c r="H43" s="18">
        <v>1</v>
      </c>
      <c r="I43" s="19">
        <f t="shared" si="0"/>
        <v>4</v>
      </c>
      <c r="J43" s="18">
        <v>1</v>
      </c>
      <c r="K43" s="19" t="s">
        <v>13</v>
      </c>
      <c r="L43" s="16">
        <v>3036.05</v>
      </c>
      <c r="M43" s="18">
        <v>399</v>
      </c>
      <c r="N43" s="20">
        <v>46104</v>
      </c>
      <c r="O43" s="40" t="s">
        <v>47</v>
      </c>
      <c r="P43" s="51"/>
    </row>
    <row r="44" spans="1:16" ht="25.2" customHeight="1">
      <c r="A44" s="14">
        <v>42</v>
      </c>
      <c r="B44" s="19" t="s">
        <v>13</v>
      </c>
      <c r="C44" s="15" t="s">
        <v>244</v>
      </c>
      <c r="D44" s="16">
        <v>17.88</v>
      </c>
      <c r="E44" s="16" t="s">
        <v>13</v>
      </c>
      <c r="F44" s="17" t="s">
        <v>13</v>
      </c>
      <c r="G44" s="18">
        <v>4</v>
      </c>
      <c r="H44" s="18">
        <v>1</v>
      </c>
      <c r="I44" s="19">
        <f t="shared" si="0"/>
        <v>4</v>
      </c>
      <c r="J44" s="18">
        <v>1</v>
      </c>
      <c r="K44" s="19" t="s">
        <v>13</v>
      </c>
      <c r="L44" s="16">
        <v>297.74</v>
      </c>
      <c r="M44" s="18">
        <v>60</v>
      </c>
      <c r="N44" s="20">
        <v>46104</v>
      </c>
      <c r="O44" s="40" t="s">
        <v>47</v>
      </c>
      <c r="P44" s="51"/>
    </row>
    <row r="45" spans="1:16" ht="24.75" customHeight="1">
      <c r="A45" s="59"/>
      <c r="B45" s="60" t="s">
        <v>14</v>
      </c>
      <c r="C45" s="61" t="s">
        <v>236</v>
      </c>
      <c r="D45" s="27">
        <f>SUBTOTAL(109,Table13245678910111213141516171819[Pajamos 
(GBO)])</f>
        <v>377326.21000000008</v>
      </c>
      <c r="E45" s="27" t="s">
        <v>255</v>
      </c>
      <c r="F45" s="62">
        <f>(D45-E45)/E45</f>
        <v>8.4376663237213059E-2</v>
      </c>
      <c r="G45" s="34">
        <f>SUBTOTAL(109,Table13245678910111213141516171819[Žiūrovų sk. 
(ADM)])</f>
        <v>46257</v>
      </c>
      <c r="H45" s="63"/>
      <c r="I45" s="59"/>
      <c r="J45" s="63"/>
      <c r="K45" s="64"/>
      <c r="L45" s="65"/>
      <c r="M45" s="63"/>
      <c r="N45" s="66"/>
      <c r="O45" s="67"/>
      <c r="P45" s="68"/>
    </row>
    <row r="46" spans="1:16"/>
    <row r="47" spans="1:16"/>
    <row r="48" spans="1:1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850D1-E987-4C46-A484-CE92B8CC97BF}">
  <sheetPr>
    <pageSetUpPr fitToPage="1"/>
  </sheetPr>
  <dimension ref="A1:XFC258"/>
  <sheetViews>
    <sheetView zoomScale="60" zoomScaleNormal="60" workbookViewId="0">
      <selection activeCell="O17" sqref="O17"/>
    </sheetView>
  </sheetViews>
  <sheetFormatPr defaultColWidth="0" defaultRowHeight="11.4" zeroHeight="1"/>
  <cols>
    <col min="1" max="1" width="4.75" style="1" customWidth="1"/>
    <col min="2" max="2" width="4.75" style="49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6" s="4" customFormat="1" ht="40.5" customHeight="1" thickBot="1">
      <c r="A1" s="96" t="s">
        <v>246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s="5" customFormat="1" ht="63.6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1" customFormat="1" ht="24.9" customHeight="1">
      <c r="A3" s="14">
        <v>1</v>
      </c>
      <c r="B3" s="19" t="s">
        <v>49</v>
      </c>
      <c r="C3" s="15" t="s">
        <v>251</v>
      </c>
      <c r="D3" s="16">
        <v>129224.24</v>
      </c>
      <c r="E3" s="16" t="s">
        <v>13</v>
      </c>
      <c r="F3" s="17" t="s">
        <v>13</v>
      </c>
      <c r="G3" s="18">
        <v>14296</v>
      </c>
      <c r="H3" s="18">
        <v>169</v>
      </c>
      <c r="I3" s="19">
        <f>G3/H3</f>
        <v>84.591715976331358</v>
      </c>
      <c r="J3" s="18">
        <v>21</v>
      </c>
      <c r="K3" s="19">
        <v>1</v>
      </c>
      <c r="L3" s="16">
        <v>162181.54</v>
      </c>
      <c r="M3" s="18">
        <v>18400</v>
      </c>
      <c r="N3" s="20">
        <v>46136</v>
      </c>
      <c r="O3" s="40" t="s">
        <v>207</v>
      </c>
      <c r="P3" s="51"/>
    </row>
    <row r="4" spans="1:16" s="21" customFormat="1" ht="24.9" customHeight="1">
      <c r="A4" s="14">
        <v>2</v>
      </c>
      <c r="B4" s="19">
        <v>1</v>
      </c>
      <c r="C4" s="15" t="s">
        <v>216</v>
      </c>
      <c r="D4" s="16">
        <v>51031.56</v>
      </c>
      <c r="E4" s="16">
        <v>49419.06</v>
      </c>
      <c r="F4" s="17">
        <f>(D4-E4)/E4</f>
        <v>3.2629111116237342E-2</v>
      </c>
      <c r="G4" s="18">
        <v>7862</v>
      </c>
      <c r="H4" s="18">
        <v>143</v>
      </c>
      <c r="I4" s="19">
        <f>G4/H4</f>
        <v>54.97902097902098</v>
      </c>
      <c r="J4" s="18">
        <v>26</v>
      </c>
      <c r="K4" s="19">
        <v>5</v>
      </c>
      <c r="L4" s="16">
        <v>389864.96000000002</v>
      </c>
      <c r="M4" s="18">
        <v>62035</v>
      </c>
      <c r="N4" s="20">
        <v>46113</v>
      </c>
      <c r="O4" s="40" t="s">
        <v>207</v>
      </c>
      <c r="P4" s="51"/>
    </row>
    <row r="5" spans="1:16" s="21" customFormat="1" ht="24.9" customHeight="1">
      <c r="A5" s="14">
        <v>3</v>
      </c>
      <c r="B5" s="19">
        <v>2</v>
      </c>
      <c r="C5" s="15" t="s">
        <v>184</v>
      </c>
      <c r="D5" s="16">
        <v>36228.68</v>
      </c>
      <c r="E5" s="16">
        <v>38229.72</v>
      </c>
      <c r="F5" s="17">
        <f>(D5-E5)/E5</f>
        <v>-5.2342523042282312E-2</v>
      </c>
      <c r="G5" s="18">
        <v>4158</v>
      </c>
      <c r="H5" s="18">
        <v>93</v>
      </c>
      <c r="I5" s="19">
        <f>G5/H5</f>
        <v>44.70967741935484</v>
      </c>
      <c r="J5" s="18">
        <v>12</v>
      </c>
      <c r="K5" s="19">
        <v>6</v>
      </c>
      <c r="L5" s="16">
        <v>618018.55000000005</v>
      </c>
      <c r="M5" s="18">
        <v>68495</v>
      </c>
      <c r="N5" s="20">
        <v>46101</v>
      </c>
      <c r="O5" s="40" t="s">
        <v>39</v>
      </c>
      <c r="P5" s="51"/>
    </row>
    <row r="6" spans="1:16" s="21" customFormat="1" ht="24.9" customHeight="1">
      <c r="A6" s="14">
        <v>4</v>
      </c>
      <c r="B6" s="19" t="s">
        <v>49</v>
      </c>
      <c r="C6" s="15" t="s">
        <v>248</v>
      </c>
      <c r="D6" s="16">
        <v>29422</v>
      </c>
      <c r="E6" s="16" t="s">
        <v>13</v>
      </c>
      <c r="F6" s="17" t="s">
        <v>13</v>
      </c>
      <c r="G6" s="18">
        <v>5089</v>
      </c>
      <c r="H6" s="18" t="s">
        <v>13</v>
      </c>
      <c r="I6" s="19" t="s">
        <v>13</v>
      </c>
      <c r="J6" s="18">
        <v>20</v>
      </c>
      <c r="K6" s="19">
        <v>1</v>
      </c>
      <c r="L6" s="16">
        <v>29422</v>
      </c>
      <c r="M6" s="18">
        <v>5089</v>
      </c>
      <c r="N6" s="20">
        <v>46136</v>
      </c>
      <c r="O6" s="40" t="s">
        <v>44</v>
      </c>
      <c r="P6" s="51"/>
    </row>
    <row r="7" spans="1:16" s="21" customFormat="1" ht="24.9" customHeight="1">
      <c r="A7" s="14">
        <v>5</v>
      </c>
      <c r="B7" s="19">
        <v>3</v>
      </c>
      <c r="C7" s="15" t="s">
        <v>235</v>
      </c>
      <c r="D7" s="16">
        <v>25459.35</v>
      </c>
      <c r="E7" s="16">
        <v>31961.24</v>
      </c>
      <c r="F7" s="17">
        <f>(D7-E7)/E7</f>
        <v>-0.20343046765394593</v>
      </c>
      <c r="G7" s="18">
        <v>3256</v>
      </c>
      <c r="H7" s="18">
        <v>83</v>
      </c>
      <c r="I7" s="19">
        <f t="shared" ref="I7:I13" si="0">G7/H7</f>
        <v>39.2289156626506</v>
      </c>
      <c r="J7" s="18">
        <v>18</v>
      </c>
      <c r="K7" s="19">
        <v>3</v>
      </c>
      <c r="L7" s="16">
        <v>165290.39000000001</v>
      </c>
      <c r="M7" s="18">
        <v>22846</v>
      </c>
      <c r="N7" s="20">
        <v>46122</v>
      </c>
      <c r="O7" s="40" t="s">
        <v>47</v>
      </c>
      <c r="P7" s="51"/>
    </row>
    <row r="8" spans="1:16" s="21" customFormat="1" ht="24.9" customHeight="1">
      <c r="A8" s="14">
        <v>6</v>
      </c>
      <c r="B8" s="19">
        <v>4</v>
      </c>
      <c r="C8" s="15" t="s">
        <v>239</v>
      </c>
      <c r="D8" s="16">
        <v>24268.86</v>
      </c>
      <c r="E8" s="16">
        <v>29832.18</v>
      </c>
      <c r="F8" s="17">
        <f>(D8-E8)/E8</f>
        <v>-0.18648720944966141</v>
      </c>
      <c r="G8" s="18">
        <v>2988</v>
      </c>
      <c r="H8" s="18">
        <v>69</v>
      </c>
      <c r="I8" s="19">
        <f t="shared" si="0"/>
        <v>43.304347826086953</v>
      </c>
      <c r="J8" s="18">
        <v>12</v>
      </c>
      <c r="K8" s="19">
        <v>2</v>
      </c>
      <c r="L8" s="16">
        <v>73131.009999999995</v>
      </c>
      <c r="M8" s="18">
        <v>9682</v>
      </c>
      <c r="N8" s="20">
        <v>46129</v>
      </c>
      <c r="O8" s="40" t="s">
        <v>55</v>
      </c>
      <c r="P8" s="51"/>
    </row>
    <row r="9" spans="1:16" s="21" customFormat="1" ht="24.9" customHeight="1">
      <c r="A9" s="14">
        <v>7</v>
      </c>
      <c r="B9" s="19">
        <v>5</v>
      </c>
      <c r="C9" s="15" t="s">
        <v>170</v>
      </c>
      <c r="D9" s="16">
        <v>14972.09</v>
      </c>
      <c r="E9" s="16">
        <v>14558.42</v>
      </c>
      <c r="F9" s="17">
        <f>(D9-E9)/E9</f>
        <v>2.8414484538844192E-2</v>
      </c>
      <c r="G9" s="18">
        <v>2353</v>
      </c>
      <c r="H9" s="18">
        <v>56</v>
      </c>
      <c r="I9" s="19">
        <f t="shared" si="0"/>
        <v>42.017857142857146</v>
      </c>
      <c r="J9" s="18">
        <v>14</v>
      </c>
      <c r="K9" s="19">
        <v>8</v>
      </c>
      <c r="L9" s="16">
        <v>357325.21</v>
      </c>
      <c r="M9" s="18">
        <v>59292</v>
      </c>
      <c r="N9" s="20">
        <v>46087</v>
      </c>
      <c r="O9" s="40" t="s">
        <v>37</v>
      </c>
      <c r="P9" s="51"/>
    </row>
    <row r="10" spans="1:16" s="21" customFormat="1" ht="24.9" customHeight="1">
      <c r="A10" s="14">
        <v>8</v>
      </c>
      <c r="B10" s="19">
        <v>7</v>
      </c>
      <c r="C10" s="15" t="s">
        <v>240</v>
      </c>
      <c r="D10" s="16">
        <v>7541.81</v>
      </c>
      <c r="E10" s="16">
        <v>8679.8700000000008</v>
      </c>
      <c r="F10" s="17">
        <f>(D10-E10)/E10</f>
        <v>-0.13111486692773053</v>
      </c>
      <c r="G10" s="18">
        <v>1166</v>
      </c>
      <c r="H10" s="18">
        <v>50</v>
      </c>
      <c r="I10" s="19">
        <f t="shared" si="0"/>
        <v>23.32</v>
      </c>
      <c r="J10" s="18">
        <v>15</v>
      </c>
      <c r="K10" s="19">
        <v>2</v>
      </c>
      <c r="L10" s="16">
        <v>18982.759999999998</v>
      </c>
      <c r="M10" s="18">
        <v>3160</v>
      </c>
      <c r="N10" s="20">
        <v>46129</v>
      </c>
      <c r="O10" s="40" t="s">
        <v>42</v>
      </c>
      <c r="P10" s="51"/>
    </row>
    <row r="11" spans="1:16" s="21" customFormat="1" ht="24.9" customHeight="1">
      <c r="A11" s="14">
        <v>9</v>
      </c>
      <c r="B11" s="19" t="s">
        <v>49</v>
      </c>
      <c r="C11" s="15" t="s">
        <v>249</v>
      </c>
      <c r="D11" s="16">
        <v>7322.33</v>
      </c>
      <c r="E11" s="16" t="s">
        <v>13</v>
      </c>
      <c r="F11" s="17" t="s">
        <v>13</v>
      </c>
      <c r="G11" s="18">
        <v>937</v>
      </c>
      <c r="H11" s="18">
        <v>75</v>
      </c>
      <c r="I11" s="19">
        <f t="shared" si="0"/>
        <v>12.493333333333334</v>
      </c>
      <c r="J11" s="18">
        <v>15</v>
      </c>
      <c r="K11" s="19">
        <v>1</v>
      </c>
      <c r="L11" s="16">
        <v>7322.33</v>
      </c>
      <c r="M11" s="18">
        <v>937</v>
      </c>
      <c r="N11" s="20">
        <v>46136</v>
      </c>
      <c r="O11" s="40" t="s">
        <v>42</v>
      </c>
      <c r="P11" s="51"/>
    </row>
    <row r="12" spans="1:16" s="21" customFormat="1" ht="24.9" customHeight="1">
      <c r="A12" s="14">
        <v>10</v>
      </c>
      <c r="B12" s="19">
        <v>6</v>
      </c>
      <c r="C12" s="15" t="s">
        <v>206</v>
      </c>
      <c r="D12" s="16">
        <v>5721.26</v>
      </c>
      <c r="E12" s="16">
        <v>9070.9599999999991</v>
      </c>
      <c r="F12" s="17">
        <f>(D12-E12)/E12</f>
        <v>-0.36927734219972297</v>
      </c>
      <c r="G12" s="18">
        <v>732</v>
      </c>
      <c r="H12" s="18">
        <v>26</v>
      </c>
      <c r="I12" s="19">
        <f t="shared" si="0"/>
        <v>28.153846153846153</v>
      </c>
      <c r="J12" s="18">
        <v>9</v>
      </c>
      <c r="K12" s="19">
        <v>5</v>
      </c>
      <c r="L12" s="16">
        <v>169294.27</v>
      </c>
      <c r="M12" s="18">
        <v>22108</v>
      </c>
      <c r="N12" s="20">
        <v>46108</v>
      </c>
      <c r="O12" s="40" t="s">
        <v>207</v>
      </c>
      <c r="P12" s="51"/>
    </row>
    <row r="13" spans="1:16" s="21" customFormat="1" ht="24.9" customHeight="1">
      <c r="A13" s="14">
        <v>11</v>
      </c>
      <c r="B13" s="19">
        <v>8</v>
      </c>
      <c r="C13" s="15" t="s">
        <v>133</v>
      </c>
      <c r="D13" s="16">
        <v>3751</v>
      </c>
      <c r="E13" s="16">
        <v>4524.8999999999996</v>
      </c>
      <c r="F13" s="17">
        <f>(D13-E13)/E13</f>
        <v>-0.1710314040089283</v>
      </c>
      <c r="G13" s="18">
        <v>467</v>
      </c>
      <c r="H13" s="18">
        <v>16</v>
      </c>
      <c r="I13" s="19">
        <f t="shared" si="0"/>
        <v>29.1875</v>
      </c>
      <c r="J13" s="18">
        <v>4</v>
      </c>
      <c r="K13" s="19">
        <v>11</v>
      </c>
      <c r="L13" s="16">
        <v>971942.91999999981</v>
      </c>
      <c r="M13" s="18">
        <v>121315</v>
      </c>
      <c r="N13" s="20">
        <v>46066</v>
      </c>
      <c r="O13" s="40" t="s">
        <v>134</v>
      </c>
      <c r="P13" s="51"/>
    </row>
    <row r="14" spans="1:16" s="21" customFormat="1" ht="24.9" customHeight="1">
      <c r="A14" s="14">
        <v>12</v>
      </c>
      <c r="B14" s="19">
        <v>13</v>
      </c>
      <c r="C14" s="15" t="s">
        <v>131</v>
      </c>
      <c r="D14" s="16">
        <v>1729.6</v>
      </c>
      <c r="E14" s="16">
        <v>1848.5</v>
      </c>
      <c r="F14" s="17">
        <f>(D14-E14)/E14</f>
        <v>-6.4322423586691962E-2</v>
      </c>
      <c r="G14" s="18">
        <v>202</v>
      </c>
      <c r="H14" s="18" t="s">
        <v>13</v>
      </c>
      <c r="I14" s="19" t="s">
        <v>13</v>
      </c>
      <c r="J14" s="18">
        <v>2</v>
      </c>
      <c r="K14" s="19" t="s">
        <v>13</v>
      </c>
      <c r="L14" s="16">
        <v>344749.84999999986</v>
      </c>
      <c r="M14" s="18">
        <v>46203</v>
      </c>
      <c r="N14" s="20">
        <v>46073</v>
      </c>
      <c r="O14" s="40" t="s">
        <v>147</v>
      </c>
      <c r="P14" s="51"/>
    </row>
    <row r="15" spans="1:16" s="21" customFormat="1" ht="24.9" customHeight="1">
      <c r="A15" s="14">
        <v>13</v>
      </c>
      <c r="B15" s="19">
        <v>12</v>
      </c>
      <c r="C15" s="15" t="s">
        <v>187</v>
      </c>
      <c r="D15" s="16">
        <v>1069.3399999999999</v>
      </c>
      <c r="E15" s="16">
        <v>1944.88</v>
      </c>
      <c r="F15" s="17">
        <f>(D15-E15)/E15</f>
        <v>-0.45017687466578921</v>
      </c>
      <c r="G15" s="18">
        <v>136</v>
      </c>
      <c r="H15" s="18">
        <v>4</v>
      </c>
      <c r="I15" s="19">
        <f t="shared" ref="I15:I36" si="1">G15/H15</f>
        <v>34</v>
      </c>
      <c r="J15" s="18">
        <v>2</v>
      </c>
      <c r="K15" s="19">
        <v>6</v>
      </c>
      <c r="L15" s="16">
        <v>68225.45</v>
      </c>
      <c r="M15" s="18">
        <v>9221</v>
      </c>
      <c r="N15" s="20">
        <v>46101</v>
      </c>
      <c r="O15" s="40" t="s">
        <v>37</v>
      </c>
      <c r="P15" s="51"/>
    </row>
    <row r="16" spans="1:16" s="21" customFormat="1" ht="24.9" customHeight="1">
      <c r="A16" s="14">
        <v>14</v>
      </c>
      <c r="B16" s="19" t="s">
        <v>49</v>
      </c>
      <c r="C16" s="15" t="s">
        <v>250</v>
      </c>
      <c r="D16" s="16">
        <v>1010.57</v>
      </c>
      <c r="E16" s="16" t="s">
        <v>13</v>
      </c>
      <c r="F16" s="17" t="s">
        <v>13</v>
      </c>
      <c r="G16" s="18">
        <v>178</v>
      </c>
      <c r="H16" s="18">
        <v>18</v>
      </c>
      <c r="I16" s="19">
        <f t="shared" si="1"/>
        <v>9.8888888888888893</v>
      </c>
      <c r="J16" s="18">
        <v>6</v>
      </c>
      <c r="K16" s="19">
        <v>1</v>
      </c>
      <c r="L16" s="16">
        <v>1010.57</v>
      </c>
      <c r="M16" s="18">
        <v>178</v>
      </c>
      <c r="N16" s="20">
        <v>46136</v>
      </c>
      <c r="O16" s="40" t="s">
        <v>183</v>
      </c>
      <c r="P16" s="51"/>
    </row>
    <row r="17" spans="1:16" s="21" customFormat="1" ht="24.9" customHeight="1">
      <c r="A17" s="14">
        <v>15</v>
      </c>
      <c r="B17" s="19">
        <v>14</v>
      </c>
      <c r="C17" s="15" t="s">
        <v>191</v>
      </c>
      <c r="D17" s="16">
        <v>984.5</v>
      </c>
      <c r="E17" s="16">
        <v>1305.22</v>
      </c>
      <c r="F17" s="17">
        <f t="shared" ref="F17:F22" si="2">(D17-E17)/E17</f>
        <v>-0.24572102787269581</v>
      </c>
      <c r="G17" s="18">
        <v>138</v>
      </c>
      <c r="H17" s="18">
        <v>9</v>
      </c>
      <c r="I17" s="19">
        <f t="shared" si="1"/>
        <v>15.333333333333334</v>
      </c>
      <c r="J17" s="18">
        <v>4</v>
      </c>
      <c r="K17" s="19">
        <v>6</v>
      </c>
      <c r="L17" s="16">
        <v>47076.89</v>
      </c>
      <c r="M17" s="18">
        <v>6588</v>
      </c>
      <c r="N17" s="20">
        <v>46104</v>
      </c>
      <c r="O17" s="40" t="s">
        <v>47</v>
      </c>
      <c r="P17" s="51"/>
    </row>
    <row r="18" spans="1:16" s="21" customFormat="1" ht="24.9" customHeight="1">
      <c r="A18" s="14">
        <v>16</v>
      </c>
      <c r="B18" s="19">
        <v>9</v>
      </c>
      <c r="C18" s="15" t="s">
        <v>230</v>
      </c>
      <c r="D18" s="16">
        <v>737.55</v>
      </c>
      <c r="E18" s="16">
        <v>2603.6799999999998</v>
      </c>
      <c r="F18" s="17">
        <f t="shared" si="2"/>
        <v>-0.71672786210286976</v>
      </c>
      <c r="G18" s="18">
        <v>115</v>
      </c>
      <c r="H18" s="18">
        <v>6</v>
      </c>
      <c r="I18" s="19">
        <f t="shared" si="1"/>
        <v>19.166666666666668</v>
      </c>
      <c r="J18" s="18">
        <v>5</v>
      </c>
      <c r="K18" s="19">
        <v>3</v>
      </c>
      <c r="L18" s="16">
        <v>13271.25</v>
      </c>
      <c r="M18" s="18">
        <v>2269</v>
      </c>
      <c r="N18" s="20">
        <v>46122</v>
      </c>
      <c r="O18" s="40" t="s">
        <v>51</v>
      </c>
      <c r="P18" s="51"/>
    </row>
    <row r="19" spans="1:16" s="21" customFormat="1" ht="24.9" customHeight="1">
      <c r="A19" s="14">
        <v>17</v>
      </c>
      <c r="B19" s="19">
        <v>15</v>
      </c>
      <c r="C19" s="15" t="s">
        <v>205</v>
      </c>
      <c r="D19" s="16">
        <v>656.11</v>
      </c>
      <c r="E19" s="16">
        <v>1250.52</v>
      </c>
      <c r="F19" s="17">
        <f t="shared" si="2"/>
        <v>-0.4753302626107539</v>
      </c>
      <c r="G19" s="18">
        <v>109</v>
      </c>
      <c r="H19" s="18">
        <v>5</v>
      </c>
      <c r="I19" s="19">
        <f t="shared" si="1"/>
        <v>21.8</v>
      </c>
      <c r="J19" s="18">
        <v>3</v>
      </c>
      <c r="K19" s="19">
        <v>5</v>
      </c>
      <c r="L19" s="16">
        <v>26864.21</v>
      </c>
      <c r="M19" s="18">
        <v>4942</v>
      </c>
      <c r="N19" s="20">
        <v>46108</v>
      </c>
      <c r="O19" s="40" t="s">
        <v>94</v>
      </c>
      <c r="P19" s="51"/>
    </row>
    <row r="20" spans="1:16" s="21" customFormat="1" ht="24.9" customHeight="1">
      <c r="A20" s="14">
        <v>18</v>
      </c>
      <c r="B20" s="19">
        <v>24</v>
      </c>
      <c r="C20" s="15" t="s">
        <v>16</v>
      </c>
      <c r="D20" s="16">
        <v>607.54</v>
      </c>
      <c r="E20" s="16">
        <v>320</v>
      </c>
      <c r="F20" s="17">
        <f t="shared" si="2"/>
        <v>0.89856249999999993</v>
      </c>
      <c r="G20" s="18">
        <v>69</v>
      </c>
      <c r="H20" s="18">
        <v>3</v>
      </c>
      <c r="I20" s="19">
        <f t="shared" si="1"/>
        <v>23</v>
      </c>
      <c r="J20" s="18">
        <v>1</v>
      </c>
      <c r="K20" s="19" t="s">
        <v>13</v>
      </c>
      <c r="L20" s="16">
        <v>2038924.37</v>
      </c>
      <c r="M20" s="18">
        <v>224444</v>
      </c>
      <c r="N20" s="20">
        <v>46010</v>
      </c>
      <c r="O20" s="40" t="s">
        <v>37</v>
      </c>
      <c r="P20" s="51"/>
    </row>
    <row r="21" spans="1:16" s="44" customFormat="1" ht="24.9" customHeight="1">
      <c r="A21" s="14">
        <v>19</v>
      </c>
      <c r="B21" s="19">
        <v>19</v>
      </c>
      <c r="C21" s="15" t="s">
        <v>228</v>
      </c>
      <c r="D21" s="16">
        <v>589</v>
      </c>
      <c r="E21" s="16">
        <v>925</v>
      </c>
      <c r="F21" s="17">
        <f t="shared" si="2"/>
        <v>-0.36324324324324325</v>
      </c>
      <c r="G21" s="18">
        <v>93</v>
      </c>
      <c r="H21" s="18">
        <v>1</v>
      </c>
      <c r="I21" s="19">
        <f t="shared" si="1"/>
        <v>93</v>
      </c>
      <c r="J21" s="18">
        <v>1</v>
      </c>
      <c r="K21" s="19" t="s">
        <v>13</v>
      </c>
      <c r="L21" s="16">
        <v>202742.74</v>
      </c>
      <c r="M21" s="18">
        <v>36775</v>
      </c>
      <c r="N21" s="20">
        <v>45905</v>
      </c>
      <c r="O21" s="40" t="s">
        <v>46</v>
      </c>
      <c r="P21" s="51"/>
    </row>
    <row r="22" spans="1:16" s="44" customFormat="1" ht="24.9" customHeight="1">
      <c r="A22" s="14">
        <v>20</v>
      </c>
      <c r="B22" s="19">
        <v>11</v>
      </c>
      <c r="C22" s="15" t="s">
        <v>241</v>
      </c>
      <c r="D22" s="16">
        <v>580.07000000000005</v>
      </c>
      <c r="E22" s="16">
        <v>2132.4</v>
      </c>
      <c r="F22" s="17">
        <f t="shared" si="2"/>
        <v>-0.72797317576439691</v>
      </c>
      <c r="G22" s="18">
        <v>92</v>
      </c>
      <c r="H22" s="18">
        <v>4</v>
      </c>
      <c r="I22" s="19">
        <f t="shared" si="1"/>
        <v>23</v>
      </c>
      <c r="J22" s="18">
        <v>2</v>
      </c>
      <c r="K22" s="19">
        <v>2</v>
      </c>
      <c r="L22" s="16">
        <v>3867.88</v>
      </c>
      <c r="M22" s="18">
        <v>585</v>
      </c>
      <c r="N22" s="20">
        <v>46129</v>
      </c>
      <c r="O22" s="40" t="s">
        <v>42</v>
      </c>
      <c r="P22" s="51"/>
    </row>
    <row r="23" spans="1:16" s="44" customFormat="1" ht="24.9" customHeight="1">
      <c r="A23" s="14">
        <v>21</v>
      </c>
      <c r="B23" s="19" t="s">
        <v>13</v>
      </c>
      <c r="C23" s="15" t="s">
        <v>29</v>
      </c>
      <c r="D23" s="16">
        <v>505</v>
      </c>
      <c r="E23" s="16" t="s">
        <v>13</v>
      </c>
      <c r="F23" s="17" t="s">
        <v>13</v>
      </c>
      <c r="G23" s="18">
        <v>83</v>
      </c>
      <c r="H23" s="18">
        <v>1</v>
      </c>
      <c r="I23" s="19">
        <f t="shared" si="1"/>
        <v>83</v>
      </c>
      <c r="J23" s="18">
        <v>1</v>
      </c>
      <c r="K23" s="19" t="s">
        <v>13</v>
      </c>
      <c r="L23" s="16">
        <v>32006.129999999997</v>
      </c>
      <c r="M23" s="18">
        <v>5626</v>
      </c>
      <c r="N23" s="20">
        <v>46024</v>
      </c>
      <c r="O23" s="40" t="s">
        <v>46</v>
      </c>
      <c r="P23" s="51"/>
    </row>
    <row r="24" spans="1:16" s="44" customFormat="1" ht="24.9" customHeight="1">
      <c r="A24" s="14">
        <v>22</v>
      </c>
      <c r="B24" s="19">
        <v>17</v>
      </c>
      <c r="C24" s="15" t="s">
        <v>126</v>
      </c>
      <c r="D24" s="16">
        <v>481.88</v>
      </c>
      <c r="E24" s="16">
        <v>1094.79</v>
      </c>
      <c r="F24" s="17">
        <f>(D24-E24)/E24</f>
        <v>-0.55984252687730063</v>
      </c>
      <c r="G24" s="18">
        <v>82</v>
      </c>
      <c r="H24" s="18">
        <v>3</v>
      </c>
      <c r="I24" s="19">
        <f t="shared" si="1"/>
        <v>27.333333333333332</v>
      </c>
      <c r="J24" s="18">
        <v>1</v>
      </c>
      <c r="K24" s="19">
        <v>10</v>
      </c>
      <c r="L24" s="16">
        <v>328020.86</v>
      </c>
      <c r="M24" s="18">
        <v>54036</v>
      </c>
      <c r="N24" s="20">
        <v>46073</v>
      </c>
      <c r="O24" s="40" t="s">
        <v>39</v>
      </c>
      <c r="P24" s="51"/>
    </row>
    <row r="25" spans="1:16" s="44" customFormat="1" ht="24.9" customHeight="1">
      <c r="A25" s="14">
        <v>23</v>
      </c>
      <c r="B25" s="19">
        <v>10</v>
      </c>
      <c r="C25" s="15" t="s">
        <v>192</v>
      </c>
      <c r="D25" s="16">
        <v>471.15</v>
      </c>
      <c r="E25" s="16">
        <v>2300.17</v>
      </c>
      <c r="F25" s="17">
        <f>(D25-E25)/E25</f>
        <v>-0.79516731372029026</v>
      </c>
      <c r="G25" s="18">
        <v>69</v>
      </c>
      <c r="H25" s="18">
        <v>5</v>
      </c>
      <c r="I25" s="19">
        <f t="shared" si="1"/>
        <v>13.8</v>
      </c>
      <c r="J25" s="18">
        <v>5</v>
      </c>
      <c r="K25" s="19">
        <v>6</v>
      </c>
      <c r="L25" s="16">
        <v>30933.9</v>
      </c>
      <c r="M25" s="18">
        <v>4204</v>
      </c>
      <c r="N25" s="20">
        <v>46104</v>
      </c>
      <c r="O25" s="40" t="s">
        <v>47</v>
      </c>
      <c r="P25" s="51"/>
    </row>
    <row r="26" spans="1:16" s="44" customFormat="1" ht="24.9" customHeight="1">
      <c r="A26" s="14">
        <v>24</v>
      </c>
      <c r="B26" s="19" t="s">
        <v>13</v>
      </c>
      <c r="C26" s="15" t="s">
        <v>177</v>
      </c>
      <c r="D26" s="16">
        <v>453.75</v>
      </c>
      <c r="E26" s="16" t="s">
        <v>13</v>
      </c>
      <c r="F26" s="17" t="s">
        <v>13</v>
      </c>
      <c r="G26" s="18">
        <v>77</v>
      </c>
      <c r="H26" s="18">
        <v>2</v>
      </c>
      <c r="I26" s="19">
        <f t="shared" si="1"/>
        <v>38.5</v>
      </c>
      <c r="J26" s="18">
        <v>2</v>
      </c>
      <c r="K26" s="19" t="s">
        <v>13</v>
      </c>
      <c r="L26" s="16">
        <v>9685.6299999999992</v>
      </c>
      <c r="M26" s="18">
        <v>1446</v>
      </c>
      <c r="N26" s="20">
        <v>46094</v>
      </c>
      <c r="O26" s="40" t="s">
        <v>166</v>
      </c>
      <c r="P26" s="51"/>
    </row>
    <row r="27" spans="1:16" s="44" customFormat="1" ht="24.9" customHeight="1">
      <c r="A27" s="14">
        <v>25</v>
      </c>
      <c r="B27" s="19">
        <v>18</v>
      </c>
      <c r="C27" s="15" t="s">
        <v>213</v>
      </c>
      <c r="D27" s="16">
        <v>293</v>
      </c>
      <c r="E27" s="16">
        <v>1003.37</v>
      </c>
      <c r="F27" s="17">
        <f>(D27-E27)/E27</f>
        <v>-0.70798409360455261</v>
      </c>
      <c r="G27" s="18">
        <v>53</v>
      </c>
      <c r="H27" s="18">
        <v>2</v>
      </c>
      <c r="I27" s="19">
        <f t="shared" si="1"/>
        <v>26.5</v>
      </c>
      <c r="J27" s="18">
        <v>2</v>
      </c>
      <c r="K27" s="19">
        <v>4</v>
      </c>
      <c r="L27" s="16">
        <v>9386.83</v>
      </c>
      <c r="M27" s="18">
        <v>1526</v>
      </c>
      <c r="N27" s="20">
        <v>46115</v>
      </c>
      <c r="O27" s="40" t="s">
        <v>46</v>
      </c>
      <c r="P27" s="51"/>
    </row>
    <row r="28" spans="1:16" s="44" customFormat="1" ht="24.9" customHeight="1">
      <c r="A28" s="14">
        <v>26</v>
      </c>
      <c r="B28" s="19">
        <v>22</v>
      </c>
      <c r="C28" s="15" t="s">
        <v>233</v>
      </c>
      <c r="D28" s="16">
        <v>286.85000000000002</v>
      </c>
      <c r="E28" s="16">
        <v>549.61</v>
      </c>
      <c r="F28" s="17">
        <f>(D28-E28)/E28</f>
        <v>-0.47808445988973997</v>
      </c>
      <c r="G28" s="18">
        <v>32</v>
      </c>
      <c r="H28" s="18">
        <v>2</v>
      </c>
      <c r="I28" s="19">
        <f t="shared" si="1"/>
        <v>16</v>
      </c>
      <c r="J28" s="18">
        <v>1</v>
      </c>
      <c r="K28" s="19" t="s">
        <v>13</v>
      </c>
      <c r="L28" s="16">
        <v>25272.34</v>
      </c>
      <c r="M28" s="18">
        <v>3407</v>
      </c>
      <c r="N28" s="20">
        <v>46104</v>
      </c>
      <c r="O28" s="40" t="s">
        <v>47</v>
      </c>
      <c r="P28" s="51"/>
    </row>
    <row r="29" spans="1:16" ht="24.9" customHeight="1">
      <c r="A29" s="14">
        <v>27</v>
      </c>
      <c r="B29" s="19">
        <v>31</v>
      </c>
      <c r="C29" s="15" t="s">
        <v>199</v>
      </c>
      <c r="D29" s="16">
        <v>237.5</v>
      </c>
      <c r="E29" s="16">
        <v>167.75</v>
      </c>
      <c r="F29" s="17">
        <f>(D29-E29)/E29</f>
        <v>0.41579731743666171</v>
      </c>
      <c r="G29" s="18">
        <v>33</v>
      </c>
      <c r="H29" s="18">
        <v>2</v>
      </c>
      <c r="I29" s="19">
        <f t="shared" si="1"/>
        <v>16.5</v>
      </c>
      <c r="J29" s="18">
        <v>2</v>
      </c>
      <c r="K29" s="19">
        <v>6</v>
      </c>
      <c r="L29" s="16">
        <v>1549.1</v>
      </c>
      <c r="M29" s="18">
        <v>270</v>
      </c>
      <c r="N29" s="20">
        <v>46104</v>
      </c>
      <c r="O29" s="40" t="s">
        <v>47</v>
      </c>
      <c r="P29" s="51"/>
    </row>
    <row r="30" spans="1:16" s="44" customFormat="1" ht="24.9" customHeight="1">
      <c r="A30" s="14">
        <v>28</v>
      </c>
      <c r="B30" s="19">
        <v>16</v>
      </c>
      <c r="C30" s="15" t="s">
        <v>243</v>
      </c>
      <c r="D30" s="16">
        <v>236.1</v>
      </c>
      <c r="E30" s="16">
        <v>1196.99</v>
      </c>
      <c r="F30" s="17">
        <f>(D30-E30)/E30</f>
        <v>-0.80275524440471513</v>
      </c>
      <c r="G30" s="18">
        <v>31</v>
      </c>
      <c r="H30" s="18">
        <v>2</v>
      </c>
      <c r="I30" s="19">
        <f t="shared" si="1"/>
        <v>15.5</v>
      </c>
      <c r="J30" s="18">
        <v>2</v>
      </c>
      <c r="K30" s="19">
        <v>2</v>
      </c>
      <c r="L30" s="16">
        <v>1992.7</v>
      </c>
      <c r="M30" s="18">
        <v>310</v>
      </c>
      <c r="N30" s="20">
        <v>46129</v>
      </c>
      <c r="O30" s="40" t="s">
        <v>43</v>
      </c>
      <c r="P30" s="51"/>
    </row>
    <row r="31" spans="1:16" s="44" customFormat="1" ht="24.9" customHeight="1">
      <c r="A31" s="14">
        <v>29</v>
      </c>
      <c r="B31" s="19">
        <v>30</v>
      </c>
      <c r="C31" s="15" t="s">
        <v>163</v>
      </c>
      <c r="D31" s="16">
        <v>214</v>
      </c>
      <c r="E31" s="16">
        <v>194</v>
      </c>
      <c r="F31" s="17">
        <f>(D31-E31)/E31</f>
        <v>0.10309278350515463</v>
      </c>
      <c r="G31" s="18">
        <v>28</v>
      </c>
      <c r="H31" s="18">
        <v>1</v>
      </c>
      <c r="I31" s="19">
        <f t="shared" si="1"/>
        <v>28</v>
      </c>
      <c r="J31" s="18">
        <v>1</v>
      </c>
      <c r="K31" s="19">
        <v>9</v>
      </c>
      <c r="L31" s="16">
        <v>122548.54</v>
      </c>
      <c r="M31" s="18">
        <v>15418</v>
      </c>
      <c r="N31" s="20">
        <v>46080</v>
      </c>
      <c r="O31" s="40" t="s">
        <v>38</v>
      </c>
      <c r="P31" s="51"/>
    </row>
    <row r="32" spans="1:16" s="44" customFormat="1" ht="24.9" customHeight="1">
      <c r="A32" s="14">
        <v>30</v>
      </c>
      <c r="B32" s="19" t="s">
        <v>13</v>
      </c>
      <c r="C32" s="15" t="s">
        <v>84</v>
      </c>
      <c r="D32" s="16">
        <v>209.54</v>
      </c>
      <c r="E32" s="16" t="s">
        <v>13</v>
      </c>
      <c r="F32" s="17" t="s">
        <v>13</v>
      </c>
      <c r="G32" s="18">
        <v>44</v>
      </c>
      <c r="H32" s="18">
        <v>1</v>
      </c>
      <c r="I32" s="19">
        <f t="shared" si="1"/>
        <v>44</v>
      </c>
      <c r="J32" s="18">
        <v>1</v>
      </c>
      <c r="K32" s="19" t="s">
        <v>13</v>
      </c>
      <c r="L32" s="16">
        <v>40547.11</v>
      </c>
      <c r="M32" s="18">
        <v>6423</v>
      </c>
      <c r="N32" s="20">
        <v>46038</v>
      </c>
      <c r="O32" s="40" t="s">
        <v>207</v>
      </c>
      <c r="P32" s="51"/>
    </row>
    <row r="33" spans="1:16" s="44" customFormat="1" ht="24.9" customHeight="1">
      <c r="A33" s="14">
        <v>31</v>
      </c>
      <c r="B33" s="19">
        <v>29</v>
      </c>
      <c r="C33" s="15" t="s">
        <v>164</v>
      </c>
      <c r="D33" s="16">
        <v>181.5</v>
      </c>
      <c r="E33" s="16">
        <v>226.99</v>
      </c>
      <c r="F33" s="17">
        <f t="shared" ref="F33:F38" si="3">(D33-E33)/E33</f>
        <v>-0.20040530419842287</v>
      </c>
      <c r="G33" s="18">
        <v>30</v>
      </c>
      <c r="H33" s="18">
        <v>1</v>
      </c>
      <c r="I33" s="19">
        <f t="shared" si="1"/>
        <v>30</v>
      </c>
      <c r="J33" s="18">
        <v>1</v>
      </c>
      <c r="K33" s="19" t="s">
        <v>13</v>
      </c>
      <c r="L33" s="16">
        <v>30713.54</v>
      </c>
      <c r="M33" s="18">
        <v>5215</v>
      </c>
      <c r="N33" s="20">
        <v>46080</v>
      </c>
      <c r="O33" s="40" t="s">
        <v>166</v>
      </c>
      <c r="P33" s="51"/>
    </row>
    <row r="34" spans="1:16" s="44" customFormat="1" ht="24.9" customHeight="1">
      <c r="A34" s="14">
        <v>32</v>
      </c>
      <c r="B34" s="19">
        <v>25</v>
      </c>
      <c r="C34" s="15" t="s">
        <v>79</v>
      </c>
      <c r="D34" s="16">
        <v>162.24</v>
      </c>
      <c r="E34" s="16">
        <v>277.64999999999998</v>
      </c>
      <c r="F34" s="17">
        <f t="shared" si="3"/>
        <v>-0.41566720691518089</v>
      </c>
      <c r="G34" s="18">
        <v>42</v>
      </c>
      <c r="H34" s="18">
        <v>2</v>
      </c>
      <c r="I34" s="19">
        <f t="shared" si="1"/>
        <v>21</v>
      </c>
      <c r="J34" s="18">
        <v>2</v>
      </c>
      <c r="K34" s="19" t="s">
        <v>13</v>
      </c>
      <c r="L34" s="16">
        <v>300049.86</v>
      </c>
      <c r="M34" s="18">
        <v>53636</v>
      </c>
      <c r="N34" s="20">
        <v>46038</v>
      </c>
      <c r="O34" s="40" t="s">
        <v>42</v>
      </c>
      <c r="P34" s="51"/>
    </row>
    <row r="35" spans="1:16" s="44" customFormat="1" ht="24.9" customHeight="1">
      <c r="A35" s="14">
        <v>33</v>
      </c>
      <c r="B35" s="19">
        <v>35</v>
      </c>
      <c r="C35" s="15" t="s">
        <v>78</v>
      </c>
      <c r="D35" s="16">
        <v>148.15</v>
      </c>
      <c r="E35" s="16">
        <v>93.55</v>
      </c>
      <c r="F35" s="17">
        <f t="shared" si="3"/>
        <v>0.58364510956707649</v>
      </c>
      <c r="G35" s="18">
        <v>18</v>
      </c>
      <c r="H35" s="18">
        <v>1</v>
      </c>
      <c r="I35" s="19">
        <f t="shared" si="1"/>
        <v>18</v>
      </c>
      <c r="J35" s="18">
        <v>1</v>
      </c>
      <c r="K35" s="19">
        <v>14</v>
      </c>
      <c r="L35" s="16">
        <v>152248.17000000001</v>
      </c>
      <c r="M35" s="18">
        <v>21084</v>
      </c>
      <c r="N35" s="20">
        <v>46038</v>
      </c>
      <c r="O35" s="40" t="s">
        <v>47</v>
      </c>
      <c r="P35" s="51"/>
    </row>
    <row r="36" spans="1:16" ht="24.9" customHeight="1">
      <c r="A36" s="14">
        <v>34</v>
      </c>
      <c r="B36" s="19">
        <v>21</v>
      </c>
      <c r="C36" s="15" t="s">
        <v>123</v>
      </c>
      <c r="D36" s="16">
        <v>127.35</v>
      </c>
      <c r="E36" s="16">
        <v>703.9</v>
      </c>
      <c r="F36" s="17">
        <f t="shared" si="3"/>
        <v>-0.81907941468958656</v>
      </c>
      <c r="G36" s="18">
        <v>18</v>
      </c>
      <c r="H36" s="18">
        <v>1</v>
      </c>
      <c r="I36" s="19">
        <f t="shared" si="1"/>
        <v>18</v>
      </c>
      <c r="J36" s="18">
        <v>1</v>
      </c>
      <c r="K36" s="19">
        <v>11</v>
      </c>
      <c r="L36" s="16">
        <v>522962.91</v>
      </c>
      <c r="M36" s="18">
        <v>62006</v>
      </c>
      <c r="N36" s="20">
        <v>46066</v>
      </c>
      <c r="O36" s="40" t="s">
        <v>55</v>
      </c>
      <c r="P36" s="51"/>
    </row>
    <row r="37" spans="1:16" ht="24.9" customHeight="1">
      <c r="A37" s="14">
        <v>35</v>
      </c>
      <c r="B37" s="19">
        <v>23</v>
      </c>
      <c r="C37" s="15" t="s">
        <v>225</v>
      </c>
      <c r="D37" s="16">
        <v>121</v>
      </c>
      <c r="E37" s="16">
        <v>381</v>
      </c>
      <c r="F37" s="17">
        <f t="shared" si="3"/>
        <v>-0.6824146981627297</v>
      </c>
      <c r="G37" s="18">
        <v>16</v>
      </c>
      <c r="H37" s="18" t="s">
        <v>13</v>
      </c>
      <c r="I37" s="19" t="s">
        <v>13</v>
      </c>
      <c r="J37" s="18">
        <v>2</v>
      </c>
      <c r="K37" s="19">
        <v>3</v>
      </c>
      <c r="L37" s="16">
        <v>4673</v>
      </c>
      <c r="M37" s="18">
        <v>704</v>
      </c>
      <c r="N37" s="20">
        <v>46122</v>
      </c>
      <c r="O37" s="40" t="s">
        <v>44</v>
      </c>
      <c r="P37" s="51"/>
    </row>
    <row r="38" spans="1:16" s="44" customFormat="1" ht="24.9" customHeight="1">
      <c r="A38" s="14">
        <v>36</v>
      </c>
      <c r="B38" s="19">
        <v>33</v>
      </c>
      <c r="C38" s="15" t="s">
        <v>223</v>
      </c>
      <c r="D38" s="16">
        <v>118</v>
      </c>
      <c r="E38" s="16">
        <v>104</v>
      </c>
      <c r="F38" s="17">
        <f t="shared" si="3"/>
        <v>0.13461538461538461</v>
      </c>
      <c r="G38" s="18">
        <v>21</v>
      </c>
      <c r="H38" s="18">
        <v>4</v>
      </c>
      <c r="I38" s="19">
        <f>G38/H38</f>
        <v>5.25</v>
      </c>
      <c r="J38" s="18">
        <v>4</v>
      </c>
      <c r="K38" s="19">
        <v>3</v>
      </c>
      <c r="L38" s="16">
        <v>915</v>
      </c>
      <c r="M38" s="18">
        <v>184</v>
      </c>
      <c r="N38" s="20">
        <v>46122</v>
      </c>
      <c r="O38" s="40" t="s">
        <v>86</v>
      </c>
      <c r="P38" s="51"/>
    </row>
    <row r="39" spans="1:16" s="44" customFormat="1" ht="24.9" customHeight="1">
      <c r="A39" s="14">
        <v>37</v>
      </c>
      <c r="B39" s="19" t="s">
        <v>13</v>
      </c>
      <c r="C39" s="15" t="s">
        <v>69</v>
      </c>
      <c r="D39" s="16">
        <v>115</v>
      </c>
      <c r="E39" s="16" t="s">
        <v>13</v>
      </c>
      <c r="F39" s="17" t="s">
        <v>13</v>
      </c>
      <c r="G39" s="18">
        <v>23</v>
      </c>
      <c r="H39" s="18" t="s">
        <v>13</v>
      </c>
      <c r="I39" s="19" t="s">
        <v>13</v>
      </c>
      <c r="J39" s="18">
        <v>1</v>
      </c>
      <c r="K39" s="19" t="s">
        <v>13</v>
      </c>
      <c r="L39" s="16">
        <v>114105</v>
      </c>
      <c r="M39" s="18">
        <v>21504</v>
      </c>
      <c r="N39" s="20">
        <v>45954</v>
      </c>
      <c r="O39" s="40" t="s">
        <v>44</v>
      </c>
      <c r="P39" s="51"/>
    </row>
    <row r="40" spans="1:16" s="44" customFormat="1" ht="24.9" customHeight="1">
      <c r="A40" s="14">
        <v>38</v>
      </c>
      <c r="B40" s="19" t="s">
        <v>13</v>
      </c>
      <c r="C40" s="15" t="s">
        <v>156</v>
      </c>
      <c r="D40" s="16">
        <v>112</v>
      </c>
      <c r="E40" s="16" t="s">
        <v>13</v>
      </c>
      <c r="F40" s="17" t="s">
        <v>13</v>
      </c>
      <c r="G40" s="18">
        <v>17</v>
      </c>
      <c r="H40" s="18">
        <v>1</v>
      </c>
      <c r="I40" s="19">
        <f t="shared" ref="I40:I47" si="4">G40/H40</f>
        <v>17</v>
      </c>
      <c r="J40" s="18">
        <v>1</v>
      </c>
      <c r="K40" s="19" t="s">
        <v>13</v>
      </c>
      <c r="L40" s="16">
        <v>1268.57</v>
      </c>
      <c r="M40" s="18">
        <v>212</v>
      </c>
      <c r="N40" s="20">
        <v>46080</v>
      </c>
      <c r="O40" s="40" t="s">
        <v>46</v>
      </c>
      <c r="P40" s="51"/>
    </row>
    <row r="41" spans="1:16" s="44" customFormat="1" ht="24.9" customHeight="1">
      <c r="A41" s="14">
        <v>39</v>
      </c>
      <c r="B41" s="19" t="s">
        <v>13</v>
      </c>
      <c r="C41" s="15" t="s">
        <v>194</v>
      </c>
      <c r="D41" s="16">
        <v>105.62</v>
      </c>
      <c r="E41" s="16" t="s">
        <v>13</v>
      </c>
      <c r="F41" s="17" t="s">
        <v>13</v>
      </c>
      <c r="G41" s="18">
        <v>12</v>
      </c>
      <c r="H41" s="18">
        <v>1</v>
      </c>
      <c r="I41" s="19">
        <f t="shared" si="4"/>
        <v>12</v>
      </c>
      <c r="J41" s="18">
        <v>1</v>
      </c>
      <c r="K41" s="19" t="s">
        <v>13</v>
      </c>
      <c r="L41" s="16">
        <v>5290.76</v>
      </c>
      <c r="M41" s="18">
        <v>751</v>
      </c>
      <c r="N41" s="20">
        <v>46104</v>
      </c>
      <c r="O41" s="40" t="s">
        <v>47</v>
      </c>
      <c r="P41" s="51"/>
    </row>
    <row r="42" spans="1:16" s="44" customFormat="1" ht="24.9" customHeight="1">
      <c r="A42" s="14">
        <v>40</v>
      </c>
      <c r="B42" s="19" t="s">
        <v>13</v>
      </c>
      <c r="C42" s="15" t="s">
        <v>227</v>
      </c>
      <c r="D42" s="16">
        <v>82.5</v>
      </c>
      <c r="E42" s="16" t="s">
        <v>13</v>
      </c>
      <c r="F42" s="17" t="s">
        <v>13</v>
      </c>
      <c r="G42" s="18">
        <v>19</v>
      </c>
      <c r="H42" s="18">
        <v>1</v>
      </c>
      <c r="I42" s="19">
        <f t="shared" si="4"/>
        <v>19</v>
      </c>
      <c r="J42" s="18">
        <v>1</v>
      </c>
      <c r="K42" s="19" t="s">
        <v>13</v>
      </c>
      <c r="L42" s="16">
        <v>53624.049999999996</v>
      </c>
      <c r="M42" s="18">
        <v>11436</v>
      </c>
      <c r="N42" s="20">
        <v>45541</v>
      </c>
      <c r="O42" s="40" t="s">
        <v>46</v>
      </c>
      <c r="P42" s="51"/>
    </row>
    <row r="43" spans="1:16" s="44" customFormat="1" ht="24.9" customHeight="1">
      <c r="A43" s="14">
        <v>41</v>
      </c>
      <c r="B43" s="19" t="s">
        <v>13</v>
      </c>
      <c r="C43" s="15" t="s">
        <v>224</v>
      </c>
      <c r="D43" s="16">
        <v>70</v>
      </c>
      <c r="E43" s="16" t="s">
        <v>13</v>
      </c>
      <c r="F43" s="17" t="s">
        <v>13</v>
      </c>
      <c r="G43" s="18">
        <v>10</v>
      </c>
      <c r="H43" s="18">
        <v>1</v>
      </c>
      <c r="I43" s="19">
        <f t="shared" si="4"/>
        <v>10</v>
      </c>
      <c r="J43" s="18">
        <v>1</v>
      </c>
      <c r="K43" s="19" t="s">
        <v>13</v>
      </c>
      <c r="L43" s="16">
        <v>31134.63</v>
      </c>
      <c r="M43" s="18">
        <v>5300</v>
      </c>
      <c r="N43" s="20">
        <v>45919</v>
      </c>
      <c r="O43" s="40" t="s">
        <v>86</v>
      </c>
      <c r="P43" s="51"/>
    </row>
    <row r="44" spans="1:16" s="44" customFormat="1" ht="24.9" customHeight="1">
      <c r="A44" s="14">
        <v>42</v>
      </c>
      <c r="B44" s="19" t="s">
        <v>13</v>
      </c>
      <c r="C44" s="15" t="s">
        <v>234</v>
      </c>
      <c r="D44" s="16">
        <v>68.5</v>
      </c>
      <c r="E44" s="16" t="s">
        <v>13</v>
      </c>
      <c r="F44" s="17" t="s">
        <v>13</v>
      </c>
      <c r="G44" s="18">
        <v>13</v>
      </c>
      <c r="H44" s="18">
        <v>1</v>
      </c>
      <c r="I44" s="19">
        <f t="shared" si="4"/>
        <v>13</v>
      </c>
      <c r="J44" s="18">
        <v>1</v>
      </c>
      <c r="K44" s="19" t="s">
        <v>13</v>
      </c>
      <c r="L44" s="16">
        <v>1735.67</v>
      </c>
      <c r="M44" s="18">
        <v>260</v>
      </c>
      <c r="N44" s="20">
        <v>46104</v>
      </c>
      <c r="O44" s="40" t="s">
        <v>47</v>
      </c>
      <c r="P44" s="51"/>
    </row>
    <row r="45" spans="1:16" s="44" customFormat="1" ht="24.9" customHeight="1">
      <c r="A45" s="14">
        <v>43</v>
      </c>
      <c r="B45" s="19">
        <v>28</v>
      </c>
      <c r="C45" s="15" t="s">
        <v>193</v>
      </c>
      <c r="D45" s="16">
        <v>61.7</v>
      </c>
      <c r="E45" s="16">
        <v>255.5</v>
      </c>
      <c r="F45" s="17">
        <f>(D45-E45)/E45</f>
        <v>-0.7585127201565558</v>
      </c>
      <c r="G45" s="18">
        <v>6</v>
      </c>
      <c r="H45" s="18">
        <v>1</v>
      </c>
      <c r="I45" s="19">
        <f t="shared" si="4"/>
        <v>6</v>
      </c>
      <c r="J45" s="18">
        <v>1</v>
      </c>
      <c r="K45" s="19">
        <v>6</v>
      </c>
      <c r="L45" s="16">
        <v>9133.6</v>
      </c>
      <c r="M45" s="18">
        <v>1187</v>
      </c>
      <c r="N45" s="20">
        <v>46104</v>
      </c>
      <c r="O45" s="40" t="s">
        <v>47</v>
      </c>
      <c r="P45" s="51"/>
    </row>
    <row r="46" spans="1:16" s="44" customFormat="1" ht="24.9" customHeight="1">
      <c r="A46" s="14">
        <v>44</v>
      </c>
      <c r="B46" s="19" t="s">
        <v>13</v>
      </c>
      <c r="C46" s="15" t="s">
        <v>91</v>
      </c>
      <c r="D46" s="16">
        <v>52.49</v>
      </c>
      <c r="E46" s="16" t="s">
        <v>13</v>
      </c>
      <c r="F46" s="17" t="s">
        <v>13</v>
      </c>
      <c r="G46" s="18">
        <v>18</v>
      </c>
      <c r="H46" s="18">
        <v>1</v>
      </c>
      <c r="I46" s="19">
        <f t="shared" si="4"/>
        <v>18</v>
      </c>
      <c r="J46" s="18">
        <v>1</v>
      </c>
      <c r="K46" s="19" t="s">
        <v>13</v>
      </c>
      <c r="L46" s="16">
        <v>88960.34</v>
      </c>
      <c r="M46" s="18">
        <v>18408</v>
      </c>
      <c r="N46" s="20">
        <v>44855</v>
      </c>
      <c r="O46" s="40" t="s">
        <v>42</v>
      </c>
      <c r="P46" s="51"/>
    </row>
    <row r="47" spans="1:16" s="44" customFormat="1" ht="24.9" customHeight="1">
      <c r="A47" s="14">
        <v>45</v>
      </c>
      <c r="B47" s="19" t="s">
        <v>13</v>
      </c>
      <c r="C47" s="15" t="s">
        <v>197</v>
      </c>
      <c r="D47" s="16">
        <v>32</v>
      </c>
      <c r="E47" s="16" t="s">
        <v>13</v>
      </c>
      <c r="F47" s="17" t="s">
        <v>13</v>
      </c>
      <c r="G47" s="18">
        <v>7</v>
      </c>
      <c r="H47" s="18">
        <v>1</v>
      </c>
      <c r="I47" s="19">
        <f t="shared" si="4"/>
        <v>7</v>
      </c>
      <c r="J47" s="18">
        <v>1</v>
      </c>
      <c r="K47" s="19" t="s">
        <v>13</v>
      </c>
      <c r="L47" s="16">
        <v>2950.88</v>
      </c>
      <c r="M47" s="18">
        <v>419</v>
      </c>
      <c r="N47" s="20">
        <v>46104</v>
      </c>
      <c r="O47" s="40" t="s">
        <v>47</v>
      </c>
      <c r="P47" s="51"/>
    </row>
    <row r="48" spans="1:16" s="44" customFormat="1" ht="24.9" customHeight="1">
      <c r="A48" s="14">
        <v>46</v>
      </c>
      <c r="B48" s="19">
        <v>32</v>
      </c>
      <c r="C48" s="15" t="s">
        <v>181</v>
      </c>
      <c r="D48" s="16">
        <v>30</v>
      </c>
      <c r="E48" s="16">
        <v>152</v>
      </c>
      <c r="F48" s="17">
        <f>(D48-E48)/E48</f>
        <v>-0.80263157894736847</v>
      </c>
      <c r="G48" s="18">
        <v>6</v>
      </c>
      <c r="H48" s="19" t="s">
        <v>13</v>
      </c>
      <c r="I48" s="19" t="s">
        <v>13</v>
      </c>
      <c r="J48" s="18">
        <v>1</v>
      </c>
      <c r="K48" s="19">
        <v>6</v>
      </c>
      <c r="L48" s="16">
        <v>22110</v>
      </c>
      <c r="M48" s="18">
        <v>4150</v>
      </c>
      <c r="N48" s="20">
        <v>46101</v>
      </c>
      <c r="O48" s="40" t="s">
        <v>44</v>
      </c>
      <c r="P48" s="51"/>
    </row>
    <row r="49" spans="1:16" s="44" customFormat="1" ht="24.9" customHeight="1">
      <c r="A49" s="14">
        <v>47</v>
      </c>
      <c r="B49" s="19" t="s">
        <v>13</v>
      </c>
      <c r="C49" s="15" t="s">
        <v>252</v>
      </c>
      <c r="D49" s="16">
        <v>24</v>
      </c>
      <c r="E49" s="16" t="s">
        <v>13</v>
      </c>
      <c r="F49" s="17" t="s">
        <v>13</v>
      </c>
      <c r="G49" s="18">
        <v>7</v>
      </c>
      <c r="H49" s="18">
        <v>1</v>
      </c>
      <c r="I49" s="19">
        <f>G49/H49</f>
        <v>7</v>
      </c>
      <c r="J49" s="18">
        <v>1</v>
      </c>
      <c r="K49" s="19" t="s">
        <v>13</v>
      </c>
      <c r="L49" s="16">
        <v>3016.05</v>
      </c>
      <c r="M49" s="18">
        <v>395</v>
      </c>
      <c r="N49" s="20">
        <v>46104</v>
      </c>
      <c r="O49" s="40" t="s">
        <v>47</v>
      </c>
      <c r="P49" s="51"/>
    </row>
    <row r="50" spans="1:16" s="44" customFormat="1" ht="24.9" customHeight="1">
      <c r="A50" s="14">
        <v>48</v>
      </c>
      <c r="B50" s="19" t="s">
        <v>13</v>
      </c>
      <c r="C50" s="15" t="s">
        <v>195</v>
      </c>
      <c r="D50" s="16">
        <v>22</v>
      </c>
      <c r="E50" s="16" t="s">
        <v>13</v>
      </c>
      <c r="F50" s="17" t="s">
        <v>13</v>
      </c>
      <c r="G50" s="18">
        <v>5</v>
      </c>
      <c r="H50" s="18">
        <v>1</v>
      </c>
      <c r="I50" s="19">
        <f>G50/H50</f>
        <v>5</v>
      </c>
      <c r="J50" s="18">
        <v>1</v>
      </c>
      <c r="K50" s="19" t="s">
        <v>13</v>
      </c>
      <c r="L50" s="16">
        <v>3631.88</v>
      </c>
      <c r="M50" s="18">
        <v>559</v>
      </c>
      <c r="N50" s="20">
        <v>46104</v>
      </c>
      <c r="O50" s="40" t="s">
        <v>47</v>
      </c>
      <c r="P50" s="51"/>
    </row>
    <row r="51" spans="1:16" s="44" customFormat="1" ht="24.9" customHeight="1">
      <c r="A51" s="14">
        <v>49</v>
      </c>
      <c r="B51" s="19">
        <v>38</v>
      </c>
      <c r="C51" s="15" t="s">
        <v>175</v>
      </c>
      <c r="D51" s="16">
        <v>17.5</v>
      </c>
      <c r="E51" s="16">
        <v>45</v>
      </c>
      <c r="F51" s="17">
        <f>(D51-E51)/E51</f>
        <v>-0.61111111111111116</v>
      </c>
      <c r="G51" s="18">
        <v>5</v>
      </c>
      <c r="H51" s="18">
        <v>1</v>
      </c>
      <c r="I51" s="19">
        <f>G51/H51</f>
        <v>5</v>
      </c>
      <c r="J51" s="18">
        <v>1</v>
      </c>
      <c r="K51" s="19">
        <v>6</v>
      </c>
      <c r="L51" s="16">
        <v>20418.73</v>
      </c>
      <c r="M51" s="18">
        <v>3711</v>
      </c>
      <c r="N51" s="20">
        <v>46101</v>
      </c>
      <c r="O51" s="40" t="s">
        <v>42</v>
      </c>
      <c r="P51" s="51"/>
    </row>
    <row r="52" spans="1:16" s="44" customFormat="1" ht="24.9" customHeight="1">
      <c r="A52" s="14">
        <v>50</v>
      </c>
      <c r="B52" s="19" t="s">
        <v>13</v>
      </c>
      <c r="C52" s="15" t="s">
        <v>182</v>
      </c>
      <c r="D52" s="16">
        <v>10</v>
      </c>
      <c r="E52" s="16" t="s">
        <v>13</v>
      </c>
      <c r="F52" s="17" t="s">
        <v>13</v>
      </c>
      <c r="G52" s="18">
        <v>2</v>
      </c>
      <c r="H52" s="18">
        <v>1</v>
      </c>
      <c r="I52" s="19">
        <f>G52/H52</f>
        <v>2</v>
      </c>
      <c r="J52" s="18">
        <v>1</v>
      </c>
      <c r="K52" s="19" t="s">
        <v>13</v>
      </c>
      <c r="L52" s="16">
        <v>47.5</v>
      </c>
      <c r="M52" s="18">
        <v>7</v>
      </c>
      <c r="N52" s="20">
        <v>46101</v>
      </c>
      <c r="O52" s="40" t="s">
        <v>183</v>
      </c>
      <c r="P52" s="51"/>
    </row>
    <row r="53" spans="1:16" s="44" customFormat="1" ht="24.9" customHeight="1">
      <c r="A53" s="14">
        <v>51</v>
      </c>
      <c r="B53" s="19" t="s">
        <v>13</v>
      </c>
      <c r="C53" s="15" t="s">
        <v>214</v>
      </c>
      <c r="D53" s="16">
        <v>8.4</v>
      </c>
      <c r="E53" s="16" t="s">
        <v>13</v>
      </c>
      <c r="F53" s="17" t="s">
        <v>13</v>
      </c>
      <c r="G53" s="18">
        <v>2</v>
      </c>
      <c r="H53" s="18">
        <v>1</v>
      </c>
      <c r="I53" s="19">
        <f>G53/H53</f>
        <v>2</v>
      </c>
      <c r="J53" s="18">
        <v>1</v>
      </c>
      <c r="K53" s="19" t="s">
        <v>13</v>
      </c>
      <c r="L53" s="16">
        <v>32527.119999999999</v>
      </c>
      <c r="M53" s="18">
        <v>7263</v>
      </c>
      <c r="N53" s="20">
        <v>45794</v>
      </c>
      <c r="O53" s="40" t="s">
        <v>42</v>
      </c>
      <c r="P53" s="51"/>
    </row>
    <row r="54" spans="1:16" ht="24.75" customHeight="1">
      <c r="A54" s="25"/>
      <c r="B54" s="50" t="s">
        <v>14</v>
      </c>
      <c r="C54" s="29" t="s">
        <v>253</v>
      </c>
      <c r="D54" s="27">
        <f>SUBTOTAL(109,Table132456789101112131415161718[Pajamos 
(GBO)])</f>
        <v>347966.17999999993</v>
      </c>
      <c r="E54" s="27" t="s">
        <v>247</v>
      </c>
      <c r="F54" s="43">
        <f>(D54-E54)/E54</f>
        <v>0.66420923247627761</v>
      </c>
      <c r="G54" s="34">
        <f>SUBTOTAL(109,Table132456789101112131415161718[Žiūrovų sk. 
(ADM)])</f>
        <v>45265</v>
      </c>
      <c r="H54" s="36"/>
      <c r="I54" s="25"/>
      <c r="J54" s="36"/>
      <c r="K54" s="48"/>
      <c r="L54" s="32"/>
      <c r="M54" s="36"/>
      <c r="N54" s="38"/>
      <c r="O54" s="41"/>
      <c r="P54" s="52"/>
    </row>
    <row r="55" spans="1:16"/>
    <row r="56" spans="1:16"/>
    <row r="57" spans="1:16"/>
    <row r="58" spans="1:16"/>
    <row r="59" spans="1:16"/>
    <row r="60" spans="1:16"/>
    <row r="61" spans="1:16"/>
    <row r="62" spans="1:16"/>
    <row r="63" spans="1:16"/>
    <row r="64" spans="1:16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F7FF8-26E8-4509-997F-E3F17331B31C}">
  <sheetPr>
    <pageSetUpPr fitToPage="1"/>
  </sheetPr>
  <dimension ref="A1:XFC237"/>
  <sheetViews>
    <sheetView zoomScale="60" zoomScaleNormal="60" workbookViewId="0">
      <selection activeCell="O16" sqref="O16"/>
    </sheetView>
  </sheetViews>
  <sheetFormatPr defaultColWidth="0" defaultRowHeight="11.4" zeroHeight="1"/>
  <cols>
    <col min="1" max="1" width="4.75" style="1" customWidth="1"/>
    <col min="2" max="2" width="4.75" style="49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6" s="4" customFormat="1" ht="40.5" customHeight="1" thickBot="1">
      <c r="A1" s="96" t="s">
        <v>237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1" customFormat="1" ht="24.9" customHeight="1">
      <c r="A3" s="14">
        <v>1</v>
      </c>
      <c r="B3" s="19">
        <v>1</v>
      </c>
      <c r="C3" s="15" t="s">
        <v>216</v>
      </c>
      <c r="D3" s="16">
        <v>49419.06</v>
      </c>
      <c r="E3" s="16">
        <v>82913.94</v>
      </c>
      <c r="F3" s="17">
        <f>(D3-E3)/E3</f>
        <v>-0.40397163613259729</v>
      </c>
      <c r="G3" s="18">
        <v>7661</v>
      </c>
      <c r="H3" s="18">
        <v>187</v>
      </c>
      <c r="I3" s="19">
        <f t="shared" ref="I3:I14" si="0">G3/H3</f>
        <v>40.967914438502675</v>
      </c>
      <c r="J3" s="18">
        <v>29</v>
      </c>
      <c r="K3" s="19">
        <v>4</v>
      </c>
      <c r="L3" s="16">
        <v>328875.53999999998</v>
      </c>
      <c r="M3" s="18">
        <v>52072</v>
      </c>
      <c r="N3" s="20">
        <v>46113</v>
      </c>
      <c r="O3" s="40" t="s">
        <v>207</v>
      </c>
      <c r="P3" s="51"/>
    </row>
    <row r="4" spans="1:16" s="21" customFormat="1" ht="24.9" customHeight="1">
      <c r="A4" s="14">
        <v>2</v>
      </c>
      <c r="B4" s="19">
        <v>2</v>
      </c>
      <c r="C4" s="15" t="s">
        <v>184</v>
      </c>
      <c r="D4" s="16">
        <v>38229.72</v>
      </c>
      <c r="E4" s="16">
        <v>68750.899999999994</v>
      </c>
      <c r="F4" s="17">
        <f>(D4-E4)/E4</f>
        <v>-0.44393862480345703</v>
      </c>
      <c r="G4" s="18">
        <v>3940</v>
      </c>
      <c r="H4" s="18">
        <v>90</v>
      </c>
      <c r="I4" s="19">
        <f t="shared" si="0"/>
        <v>43.777777777777779</v>
      </c>
      <c r="J4" s="18">
        <v>12</v>
      </c>
      <c r="K4" s="19">
        <v>5</v>
      </c>
      <c r="L4" s="16">
        <v>563154.57999999996</v>
      </c>
      <c r="M4" s="18">
        <v>61339</v>
      </c>
      <c r="N4" s="20">
        <v>46101</v>
      </c>
      <c r="O4" s="40" t="s">
        <v>39</v>
      </c>
      <c r="P4" s="51"/>
    </row>
    <row r="5" spans="1:16" s="21" customFormat="1" ht="24.9" customHeight="1">
      <c r="A5" s="14">
        <v>3</v>
      </c>
      <c r="B5" s="19">
        <v>3</v>
      </c>
      <c r="C5" s="15" t="s">
        <v>235</v>
      </c>
      <c r="D5" s="16">
        <v>31961.24</v>
      </c>
      <c r="E5" s="16">
        <v>53575.02</v>
      </c>
      <c r="F5" s="17">
        <f>(D5-E5)/E5</f>
        <v>-0.40343018070735198</v>
      </c>
      <c r="G5" s="18">
        <v>4354</v>
      </c>
      <c r="H5" s="18">
        <v>102</v>
      </c>
      <c r="I5" s="19">
        <f t="shared" si="0"/>
        <v>42.686274509803923</v>
      </c>
      <c r="J5" s="18">
        <v>18</v>
      </c>
      <c r="K5" s="19">
        <v>2</v>
      </c>
      <c r="L5" s="16">
        <v>123572</v>
      </c>
      <c r="M5" s="18">
        <v>16706</v>
      </c>
      <c r="N5" s="20">
        <v>46122</v>
      </c>
      <c r="O5" s="40" t="s">
        <v>47</v>
      </c>
      <c r="P5" s="51"/>
    </row>
    <row r="6" spans="1:16" s="21" customFormat="1" ht="24.9" customHeight="1">
      <c r="A6" s="14">
        <v>4</v>
      </c>
      <c r="B6" s="19" t="s">
        <v>49</v>
      </c>
      <c r="C6" s="15" t="s">
        <v>239</v>
      </c>
      <c r="D6" s="16">
        <v>29832.18</v>
      </c>
      <c r="E6" s="16" t="s">
        <v>13</v>
      </c>
      <c r="F6" s="17" t="s">
        <v>13</v>
      </c>
      <c r="G6" s="18">
        <v>3500</v>
      </c>
      <c r="H6" s="18">
        <v>102</v>
      </c>
      <c r="I6" s="19">
        <f t="shared" si="0"/>
        <v>34.313725490196077</v>
      </c>
      <c r="J6" s="18">
        <v>15</v>
      </c>
      <c r="K6" s="19">
        <v>1</v>
      </c>
      <c r="L6" s="16">
        <v>32840.61</v>
      </c>
      <c r="M6" s="18">
        <v>3908</v>
      </c>
      <c r="N6" s="20">
        <v>46129</v>
      </c>
      <c r="O6" s="40" t="s">
        <v>55</v>
      </c>
      <c r="P6" s="51"/>
    </row>
    <row r="7" spans="1:16" s="21" customFormat="1" ht="24.9" customHeight="1">
      <c r="A7" s="14">
        <v>5</v>
      </c>
      <c r="B7" s="19">
        <v>4</v>
      </c>
      <c r="C7" s="15" t="s">
        <v>170</v>
      </c>
      <c r="D7" s="16">
        <v>14558.42</v>
      </c>
      <c r="E7" s="16">
        <v>21995.11</v>
      </c>
      <c r="F7" s="17">
        <f>(D7-E7)/E7</f>
        <v>-0.3381065154936711</v>
      </c>
      <c r="G7" s="18">
        <v>2394</v>
      </c>
      <c r="H7" s="18">
        <v>81</v>
      </c>
      <c r="I7" s="19">
        <f t="shared" si="0"/>
        <v>29.555555555555557</v>
      </c>
      <c r="J7" s="18">
        <v>14</v>
      </c>
      <c r="K7" s="19">
        <v>7</v>
      </c>
      <c r="L7" s="16">
        <v>338756.5</v>
      </c>
      <c r="M7" s="18">
        <v>56138</v>
      </c>
      <c r="N7" s="20">
        <v>46087</v>
      </c>
      <c r="O7" s="40" t="s">
        <v>37</v>
      </c>
      <c r="P7" s="51"/>
    </row>
    <row r="8" spans="1:16" s="21" customFormat="1" ht="24.9" customHeight="1">
      <c r="A8" s="14">
        <v>6</v>
      </c>
      <c r="B8" s="19">
        <v>5</v>
      </c>
      <c r="C8" s="15" t="s">
        <v>206</v>
      </c>
      <c r="D8" s="16">
        <v>9070.9599999999991</v>
      </c>
      <c r="E8" s="16">
        <v>17877.82</v>
      </c>
      <c r="F8" s="17">
        <f>(D8-E8)/E8</f>
        <v>-0.49261375268349278</v>
      </c>
      <c r="G8" s="18">
        <v>1139</v>
      </c>
      <c r="H8" s="18">
        <v>59</v>
      </c>
      <c r="I8" s="19">
        <f t="shared" si="0"/>
        <v>19.305084745762713</v>
      </c>
      <c r="J8" s="18">
        <v>16</v>
      </c>
      <c r="K8" s="19">
        <v>4</v>
      </c>
      <c r="L8" s="16">
        <v>159037.53</v>
      </c>
      <c r="M8" s="18">
        <v>20416</v>
      </c>
      <c r="N8" s="20">
        <v>46108</v>
      </c>
      <c r="O8" s="40" t="s">
        <v>207</v>
      </c>
      <c r="P8" s="51"/>
    </row>
    <row r="9" spans="1:16" s="21" customFormat="1" ht="24.9" customHeight="1">
      <c r="A9" s="14">
        <v>7</v>
      </c>
      <c r="B9" s="19" t="s">
        <v>49</v>
      </c>
      <c r="C9" s="15" t="s">
        <v>240</v>
      </c>
      <c r="D9" s="16">
        <v>8679.8700000000008</v>
      </c>
      <c r="E9" s="16" t="s">
        <v>13</v>
      </c>
      <c r="F9" s="17" t="s">
        <v>13</v>
      </c>
      <c r="G9" s="18">
        <v>1406</v>
      </c>
      <c r="H9" s="18">
        <v>93</v>
      </c>
      <c r="I9" s="19">
        <f t="shared" si="0"/>
        <v>15.118279569892474</v>
      </c>
      <c r="J9" s="18">
        <v>16</v>
      </c>
      <c r="K9" s="19">
        <v>1</v>
      </c>
      <c r="L9" s="16">
        <v>8913.8700000000008</v>
      </c>
      <c r="M9" s="18">
        <v>1441</v>
      </c>
      <c r="N9" s="20">
        <v>46129</v>
      </c>
      <c r="O9" s="40" t="s">
        <v>42</v>
      </c>
      <c r="P9" s="51"/>
    </row>
    <row r="10" spans="1:16" s="21" customFormat="1" ht="24.9" customHeight="1">
      <c r="A10" s="14">
        <v>8</v>
      </c>
      <c r="B10" s="19">
        <v>6</v>
      </c>
      <c r="C10" s="15" t="s">
        <v>133</v>
      </c>
      <c r="D10" s="16">
        <v>4524.8999999999996</v>
      </c>
      <c r="E10" s="16">
        <v>7475.64</v>
      </c>
      <c r="F10" s="17">
        <f>(D10-E10)/E10</f>
        <v>-0.39471403117325077</v>
      </c>
      <c r="G10" s="18">
        <v>577</v>
      </c>
      <c r="H10" s="18">
        <v>27</v>
      </c>
      <c r="I10" s="19">
        <f t="shared" si="0"/>
        <v>21.37037037037037</v>
      </c>
      <c r="J10" s="18">
        <v>7</v>
      </c>
      <c r="K10" s="19">
        <v>10</v>
      </c>
      <c r="L10" s="16">
        <v>964495.07999999984</v>
      </c>
      <c r="M10" s="18">
        <v>120116</v>
      </c>
      <c r="N10" s="20">
        <v>46066</v>
      </c>
      <c r="O10" s="40" t="s">
        <v>134</v>
      </c>
      <c r="P10" s="51"/>
    </row>
    <row r="11" spans="1:16" s="21" customFormat="1" ht="24.9" customHeight="1">
      <c r="A11" s="14">
        <v>9</v>
      </c>
      <c r="B11" s="19">
        <v>8</v>
      </c>
      <c r="C11" s="15" t="s">
        <v>230</v>
      </c>
      <c r="D11" s="16">
        <v>2603.6799999999998</v>
      </c>
      <c r="E11" s="16">
        <v>6112.94</v>
      </c>
      <c r="F11" s="17">
        <f>(D11-E11)/E11</f>
        <v>-0.57407074173801809</v>
      </c>
      <c r="G11" s="18">
        <v>408</v>
      </c>
      <c r="H11" s="18">
        <v>10</v>
      </c>
      <c r="I11" s="19">
        <f t="shared" si="0"/>
        <v>40.799999999999997</v>
      </c>
      <c r="J11" s="18">
        <v>6</v>
      </c>
      <c r="K11" s="19">
        <v>2</v>
      </c>
      <c r="L11" s="16">
        <v>11183.1</v>
      </c>
      <c r="M11" s="18">
        <v>1884</v>
      </c>
      <c r="N11" s="20">
        <v>46122</v>
      </c>
      <c r="O11" s="40" t="s">
        <v>51</v>
      </c>
      <c r="P11" s="51"/>
    </row>
    <row r="12" spans="1:16" s="21" customFormat="1" ht="24.9" customHeight="1">
      <c r="A12" s="14">
        <v>10</v>
      </c>
      <c r="B12" s="19">
        <v>13</v>
      </c>
      <c r="C12" s="15" t="s">
        <v>192</v>
      </c>
      <c r="D12" s="16">
        <v>2300.17</v>
      </c>
      <c r="E12" s="16">
        <v>2432.46</v>
      </c>
      <c r="F12" s="17">
        <f>(D12-E12)/E12</f>
        <v>-5.438527252246695E-2</v>
      </c>
      <c r="G12" s="18">
        <v>303</v>
      </c>
      <c r="H12" s="18">
        <v>8</v>
      </c>
      <c r="I12" s="19">
        <f t="shared" si="0"/>
        <v>37.875</v>
      </c>
      <c r="J12" s="18">
        <v>5</v>
      </c>
      <c r="K12" s="19">
        <v>5</v>
      </c>
      <c r="L12" s="16">
        <v>29886.95</v>
      </c>
      <c r="M12" s="18">
        <v>3997</v>
      </c>
      <c r="N12" s="20">
        <v>46104</v>
      </c>
      <c r="O12" s="40" t="s">
        <v>47</v>
      </c>
      <c r="P12" s="51"/>
    </row>
    <row r="13" spans="1:16" s="21" customFormat="1" ht="24.9" customHeight="1">
      <c r="A13" s="14">
        <v>11</v>
      </c>
      <c r="B13" s="19" t="s">
        <v>49</v>
      </c>
      <c r="C13" s="15" t="s">
        <v>241</v>
      </c>
      <c r="D13" s="16">
        <v>2132.4</v>
      </c>
      <c r="E13" s="16" t="s">
        <v>13</v>
      </c>
      <c r="F13" s="17" t="s">
        <v>13</v>
      </c>
      <c r="G13" s="18">
        <v>284</v>
      </c>
      <c r="H13" s="18">
        <v>42</v>
      </c>
      <c r="I13" s="19">
        <f t="shared" si="0"/>
        <v>6.7619047619047619</v>
      </c>
      <c r="J13" s="18">
        <v>13</v>
      </c>
      <c r="K13" s="19">
        <v>1</v>
      </c>
      <c r="L13" s="16">
        <v>2331.8000000000002</v>
      </c>
      <c r="M13" s="18">
        <v>312</v>
      </c>
      <c r="N13" s="20">
        <v>46129</v>
      </c>
      <c r="O13" s="40" t="s">
        <v>42</v>
      </c>
      <c r="P13" s="51"/>
    </row>
    <row r="14" spans="1:16" s="21" customFormat="1" ht="24.9" customHeight="1">
      <c r="A14" s="14">
        <v>12</v>
      </c>
      <c r="B14" s="19">
        <v>9</v>
      </c>
      <c r="C14" s="15" t="s">
        <v>187</v>
      </c>
      <c r="D14" s="16">
        <v>1944.88</v>
      </c>
      <c r="E14" s="16">
        <v>5585.08</v>
      </c>
      <c r="F14" s="17">
        <f>(D14-E14)/E14</f>
        <v>-0.65177222170497107</v>
      </c>
      <c r="G14" s="18">
        <v>245</v>
      </c>
      <c r="H14" s="18">
        <v>15</v>
      </c>
      <c r="I14" s="19">
        <f t="shared" si="0"/>
        <v>16.333333333333332</v>
      </c>
      <c r="J14" s="18">
        <v>6</v>
      </c>
      <c r="K14" s="19">
        <v>5</v>
      </c>
      <c r="L14" s="16">
        <v>65552.86</v>
      </c>
      <c r="M14" s="18">
        <v>8747</v>
      </c>
      <c r="N14" s="20">
        <v>46101</v>
      </c>
      <c r="O14" s="40" t="s">
        <v>37</v>
      </c>
      <c r="P14" s="51"/>
    </row>
    <row r="15" spans="1:16" s="21" customFormat="1" ht="24.9" customHeight="1">
      <c r="A15" s="14">
        <v>13</v>
      </c>
      <c r="B15" s="19">
        <v>11</v>
      </c>
      <c r="C15" s="15" t="s">
        <v>131</v>
      </c>
      <c r="D15" s="16">
        <v>1848.5</v>
      </c>
      <c r="E15" s="16">
        <v>3790.5</v>
      </c>
      <c r="F15" s="17">
        <f>(D15-E15)/E15</f>
        <v>-0.51233346524205248</v>
      </c>
      <c r="G15" s="18">
        <v>223</v>
      </c>
      <c r="H15" s="17" t="s">
        <v>13</v>
      </c>
      <c r="I15" s="17" t="s">
        <v>13</v>
      </c>
      <c r="J15" s="18">
        <v>4</v>
      </c>
      <c r="K15" s="19">
        <v>9</v>
      </c>
      <c r="L15" s="16">
        <v>341513.04999999987</v>
      </c>
      <c r="M15" s="18">
        <v>45706</v>
      </c>
      <c r="N15" s="20">
        <v>46073</v>
      </c>
      <c r="O15" s="40" t="s">
        <v>147</v>
      </c>
      <c r="P15" s="51"/>
    </row>
    <row r="16" spans="1:16" s="21" customFormat="1" ht="24.9" customHeight="1">
      <c r="A16" s="14">
        <v>14</v>
      </c>
      <c r="B16" s="19">
        <v>15</v>
      </c>
      <c r="C16" s="15" t="s">
        <v>191</v>
      </c>
      <c r="D16" s="16">
        <v>1305.22</v>
      </c>
      <c r="E16" s="16">
        <v>2157.94</v>
      </c>
      <c r="F16" s="17">
        <f>(D16-E16)/E16</f>
        <v>-0.39515463821978369</v>
      </c>
      <c r="G16" s="18">
        <v>182</v>
      </c>
      <c r="H16" s="18">
        <v>11</v>
      </c>
      <c r="I16" s="19">
        <f t="shared" ref="I16:I24" si="1">G16/H16</f>
        <v>16.545454545454547</v>
      </c>
      <c r="J16" s="18">
        <v>5</v>
      </c>
      <c r="K16" s="19">
        <v>5</v>
      </c>
      <c r="L16" s="16">
        <v>45137.13</v>
      </c>
      <c r="M16" s="18">
        <v>6315</v>
      </c>
      <c r="N16" s="20">
        <v>46104</v>
      </c>
      <c r="O16" s="40" t="s">
        <v>47</v>
      </c>
      <c r="P16" s="51"/>
    </row>
    <row r="17" spans="1:16" s="21" customFormat="1" ht="24.9" customHeight="1">
      <c r="A17" s="14">
        <v>15</v>
      </c>
      <c r="B17" s="19">
        <v>14</v>
      </c>
      <c r="C17" s="15" t="s">
        <v>205</v>
      </c>
      <c r="D17" s="16">
        <v>1250.52</v>
      </c>
      <c r="E17" s="16">
        <v>2416.75</v>
      </c>
      <c r="F17" s="17">
        <f>(D17-E17)/E17</f>
        <v>-0.48256129098996586</v>
      </c>
      <c r="G17" s="18">
        <v>250</v>
      </c>
      <c r="H17" s="18">
        <v>16</v>
      </c>
      <c r="I17" s="19">
        <f t="shared" si="1"/>
        <v>15.625</v>
      </c>
      <c r="J17" s="18">
        <v>8</v>
      </c>
      <c r="K17" s="19">
        <v>4</v>
      </c>
      <c r="L17" s="16">
        <v>25973.22</v>
      </c>
      <c r="M17" s="18">
        <v>4784</v>
      </c>
      <c r="N17" s="20">
        <v>46108</v>
      </c>
      <c r="O17" s="40" t="s">
        <v>94</v>
      </c>
      <c r="P17" s="51"/>
    </row>
    <row r="18" spans="1:16" s="21" customFormat="1" ht="24.9" customHeight="1">
      <c r="A18" s="14">
        <v>16</v>
      </c>
      <c r="B18" s="12" t="s">
        <v>49</v>
      </c>
      <c r="C18" s="15" t="s">
        <v>243</v>
      </c>
      <c r="D18" s="16">
        <v>1196.99</v>
      </c>
      <c r="E18" s="16" t="s">
        <v>13</v>
      </c>
      <c r="F18" s="17" t="s">
        <v>13</v>
      </c>
      <c r="G18" s="18">
        <v>160</v>
      </c>
      <c r="H18" s="11">
        <v>13</v>
      </c>
      <c r="I18" s="12">
        <f t="shared" si="1"/>
        <v>12.307692307692308</v>
      </c>
      <c r="J18" s="11">
        <v>6</v>
      </c>
      <c r="K18" s="12">
        <v>1</v>
      </c>
      <c r="L18" s="16">
        <v>1196.99</v>
      </c>
      <c r="M18" s="18">
        <v>160</v>
      </c>
      <c r="N18" s="13">
        <v>46129</v>
      </c>
      <c r="O18" s="39" t="s">
        <v>43</v>
      </c>
      <c r="P18" s="53"/>
    </row>
    <row r="19" spans="1:16" s="21" customFormat="1" ht="24.9" customHeight="1">
      <c r="A19" s="14">
        <v>17</v>
      </c>
      <c r="B19" s="19">
        <v>10</v>
      </c>
      <c r="C19" s="15" t="s">
        <v>126</v>
      </c>
      <c r="D19" s="16">
        <v>1094.79</v>
      </c>
      <c r="E19" s="16">
        <v>4125.26</v>
      </c>
      <c r="F19" s="17">
        <f t="shared" ref="F19:F27" si="2">(D19-E19)/E19</f>
        <v>-0.7346130910536548</v>
      </c>
      <c r="G19" s="18">
        <v>177</v>
      </c>
      <c r="H19" s="18">
        <v>11</v>
      </c>
      <c r="I19" s="19">
        <f t="shared" si="1"/>
        <v>16.09090909090909</v>
      </c>
      <c r="J19" s="18">
        <v>4</v>
      </c>
      <c r="K19" s="19">
        <v>9</v>
      </c>
      <c r="L19" s="16">
        <v>326704.44</v>
      </c>
      <c r="M19" s="18">
        <v>53755</v>
      </c>
      <c r="N19" s="20">
        <v>46073</v>
      </c>
      <c r="O19" s="40" t="s">
        <v>39</v>
      </c>
      <c r="P19" s="51"/>
    </row>
    <row r="20" spans="1:16" s="21" customFormat="1" ht="24.9" customHeight="1">
      <c r="A20" s="14">
        <v>18</v>
      </c>
      <c r="B20" s="19">
        <v>16</v>
      </c>
      <c r="C20" s="15" t="s">
        <v>213</v>
      </c>
      <c r="D20" s="16">
        <v>1003.37</v>
      </c>
      <c r="E20" s="16">
        <v>1359.5</v>
      </c>
      <c r="F20" s="17">
        <f t="shared" si="2"/>
        <v>-0.26195660169179846</v>
      </c>
      <c r="G20" s="18">
        <v>172</v>
      </c>
      <c r="H20" s="18">
        <v>7</v>
      </c>
      <c r="I20" s="19">
        <f t="shared" si="1"/>
        <v>24.571428571428573</v>
      </c>
      <c r="J20" s="18">
        <v>5</v>
      </c>
      <c r="K20" s="19">
        <v>3</v>
      </c>
      <c r="L20" s="16">
        <v>8646.0300000000007</v>
      </c>
      <c r="M20" s="18">
        <v>1395</v>
      </c>
      <c r="N20" s="20">
        <v>46115</v>
      </c>
      <c r="O20" s="40" t="s">
        <v>46</v>
      </c>
      <c r="P20" s="51"/>
    </row>
    <row r="21" spans="1:16" s="21" customFormat="1" ht="24.9" customHeight="1">
      <c r="A21" s="14">
        <v>19</v>
      </c>
      <c r="B21" s="19">
        <v>20</v>
      </c>
      <c r="C21" s="15" t="s">
        <v>228</v>
      </c>
      <c r="D21" s="16">
        <v>925</v>
      </c>
      <c r="E21" s="16">
        <v>671</v>
      </c>
      <c r="F21" s="17">
        <f t="shared" si="2"/>
        <v>0.37853949329359166</v>
      </c>
      <c r="G21" s="18">
        <v>148</v>
      </c>
      <c r="H21" s="18">
        <v>2</v>
      </c>
      <c r="I21" s="19">
        <f t="shared" si="1"/>
        <v>74</v>
      </c>
      <c r="J21" s="18">
        <v>1</v>
      </c>
      <c r="K21" s="19" t="s">
        <v>13</v>
      </c>
      <c r="L21" s="16">
        <v>202153.74</v>
      </c>
      <c r="M21" s="18">
        <v>36682</v>
      </c>
      <c r="N21" s="20">
        <v>45905</v>
      </c>
      <c r="O21" s="40" t="s">
        <v>46</v>
      </c>
      <c r="P21" s="51"/>
    </row>
    <row r="22" spans="1:16" s="44" customFormat="1" ht="24.9" customHeight="1">
      <c r="A22" s="14">
        <v>20</v>
      </c>
      <c r="B22" s="19">
        <v>7</v>
      </c>
      <c r="C22" s="15" t="s">
        <v>232</v>
      </c>
      <c r="D22" s="16">
        <v>871.39</v>
      </c>
      <c r="E22" s="16">
        <v>6231.87</v>
      </c>
      <c r="F22" s="17">
        <f t="shared" si="2"/>
        <v>-0.86017198689959828</v>
      </c>
      <c r="G22" s="18">
        <v>113</v>
      </c>
      <c r="H22" s="18">
        <v>18</v>
      </c>
      <c r="I22" s="19">
        <f t="shared" si="1"/>
        <v>6.2777777777777777</v>
      </c>
      <c r="J22" s="18">
        <v>7</v>
      </c>
      <c r="K22" s="19">
        <v>2</v>
      </c>
      <c r="L22" s="16">
        <v>9401.27</v>
      </c>
      <c r="M22" s="18">
        <v>1220</v>
      </c>
      <c r="N22" s="20">
        <v>46122</v>
      </c>
      <c r="O22" s="40" t="s">
        <v>166</v>
      </c>
      <c r="P22" s="51"/>
    </row>
    <row r="23" spans="1:16" s="44" customFormat="1" ht="24.9" customHeight="1">
      <c r="A23" s="14">
        <v>21</v>
      </c>
      <c r="B23" s="19">
        <v>18</v>
      </c>
      <c r="C23" s="15" t="s">
        <v>123</v>
      </c>
      <c r="D23" s="16">
        <v>703.9</v>
      </c>
      <c r="E23" s="16">
        <v>1274.69</v>
      </c>
      <c r="F23" s="17">
        <f t="shared" si="2"/>
        <v>-0.44778730514870285</v>
      </c>
      <c r="G23" s="18">
        <v>87</v>
      </c>
      <c r="H23" s="18">
        <v>5</v>
      </c>
      <c r="I23" s="19">
        <f t="shared" si="1"/>
        <v>17.399999999999999</v>
      </c>
      <c r="J23" s="18">
        <v>2</v>
      </c>
      <c r="K23" s="19">
        <v>10</v>
      </c>
      <c r="L23" s="16">
        <v>522499.06</v>
      </c>
      <c r="M23" s="18">
        <v>61937</v>
      </c>
      <c r="N23" s="20">
        <v>46066</v>
      </c>
      <c r="O23" s="40" t="s">
        <v>55</v>
      </c>
      <c r="P23" s="51"/>
    </row>
    <row r="24" spans="1:16" s="44" customFormat="1" ht="24.9" customHeight="1">
      <c r="A24" s="14">
        <v>22</v>
      </c>
      <c r="B24" s="19">
        <v>23</v>
      </c>
      <c r="C24" s="15" t="s">
        <v>233</v>
      </c>
      <c r="D24" s="16">
        <v>549.61</v>
      </c>
      <c r="E24" s="16">
        <v>560.72</v>
      </c>
      <c r="F24" s="17">
        <f t="shared" si="2"/>
        <v>-1.981381081466688E-2</v>
      </c>
      <c r="G24" s="18">
        <v>77</v>
      </c>
      <c r="H24" s="18">
        <v>5</v>
      </c>
      <c r="I24" s="19">
        <f t="shared" si="1"/>
        <v>15.4</v>
      </c>
      <c r="J24" s="18">
        <v>3</v>
      </c>
      <c r="K24" s="19" t="s">
        <v>13</v>
      </c>
      <c r="L24" s="16">
        <v>24666.18</v>
      </c>
      <c r="M24" s="18">
        <v>3342</v>
      </c>
      <c r="N24" s="20">
        <v>46104</v>
      </c>
      <c r="O24" s="40" t="s">
        <v>47</v>
      </c>
      <c r="P24" s="51"/>
    </row>
    <row r="25" spans="1:16" s="44" customFormat="1" ht="24.9" customHeight="1">
      <c r="A25" s="14">
        <v>23</v>
      </c>
      <c r="B25" s="19">
        <v>12</v>
      </c>
      <c r="C25" s="15" t="s">
        <v>225</v>
      </c>
      <c r="D25" s="16">
        <v>381</v>
      </c>
      <c r="E25" s="16">
        <v>2484</v>
      </c>
      <c r="F25" s="17">
        <f t="shared" si="2"/>
        <v>-0.84661835748792269</v>
      </c>
      <c r="G25" s="18">
        <v>63</v>
      </c>
      <c r="H25" s="18" t="s">
        <v>13</v>
      </c>
      <c r="I25" s="19" t="s">
        <v>13</v>
      </c>
      <c r="J25" s="18">
        <v>6</v>
      </c>
      <c r="K25" s="19">
        <v>2</v>
      </c>
      <c r="L25" s="16">
        <v>4438</v>
      </c>
      <c r="M25" s="18">
        <v>668</v>
      </c>
      <c r="N25" s="20">
        <v>46122</v>
      </c>
      <c r="O25" s="40" t="s">
        <v>44</v>
      </c>
      <c r="P25" s="51"/>
    </row>
    <row r="26" spans="1:16" s="44" customFormat="1" ht="24.9" customHeight="1">
      <c r="A26" s="14">
        <v>24</v>
      </c>
      <c r="B26" s="19">
        <v>19</v>
      </c>
      <c r="C26" s="15" t="s">
        <v>16</v>
      </c>
      <c r="D26" s="16">
        <v>320</v>
      </c>
      <c r="E26" s="16">
        <v>726.54</v>
      </c>
      <c r="F26" s="17">
        <f t="shared" si="2"/>
        <v>-0.5595562529248217</v>
      </c>
      <c r="G26" s="18">
        <v>37</v>
      </c>
      <c r="H26" s="18">
        <v>3</v>
      </c>
      <c r="I26" s="19">
        <f t="shared" ref="I26:I33" si="3">G26/H26</f>
        <v>12.333333333333334</v>
      </c>
      <c r="J26" s="18">
        <v>1</v>
      </c>
      <c r="K26" s="19" t="s">
        <v>13</v>
      </c>
      <c r="L26" s="16">
        <v>2038083.83</v>
      </c>
      <c r="M26" s="18">
        <v>224334</v>
      </c>
      <c r="N26" s="20">
        <v>46010</v>
      </c>
      <c r="O26" s="40" t="s">
        <v>37</v>
      </c>
      <c r="P26" s="51"/>
    </row>
    <row r="27" spans="1:16" ht="24.9" customHeight="1">
      <c r="A27" s="14">
        <v>25</v>
      </c>
      <c r="B27" s="19">
        <v>31</v>
      </c>
      <c r="C27" s="15" t="s">
        <v>79</v>
      </c>
      <c r="D27" s="16">
        <v>277.64999999999998</v>
      </c>
      <c r="E27" s="16">
        <v>145</v>
      </c>
      <c r="F27" s="17">
        <f t="shared" si="2"/>
        <v>0.91482758620689641</v>
      </c>
      <c r="G27" s="18">
        <v>47</v>
      </c>
      <c r="H27" s="18">
        <v>1</v>
      </c>
      <c r="I27" s="19">
        <f t="shared" si="3"/>
        <v>47</v>
      </c>
      <c r="J27" s="18">
        <v>1</v>
      </c>
      <c r="K27" s="19" t="s">
        <v>13</v>
      </c>
      <c r="L27" s="16">
        <v>299440.62</v>
      </c>
      <c r="M27" s="18">
        <v>53451</v>
      </c>
      <c r="N27" s="20">
        <v>46038</v>
      </c>
      <c r="O27" s="40" t="s">
        <v>42</v>
      </c>
      <c r="P27" s="51"/>
    </row>
    <row r="28" spans="1:16" s="44" customFormat="1" ht="24.9" customHeight="1">
      <c r="A28" s="14">
        <v>26</v>
      </c>
      <c r="B28" s="19" t="s">
        <v>13</v>
      </c>
      <c r="C28" s="15" t="s">
        <v>117</v>
      </c>
      <c r="D28" s="16">
        <v>268</v>
      </c>
      <c r="E28" s="16" t="s">
        <v>13</v>
      </c>
      <c r="F28" s="17" t="s">
        <v>13</v>
      </c>
      <c r="G28" s="18">
        <v>40</v>
      </c>
      <c r="H28" s="18">
        <v>1</v>
      </c>
      <c r="I28" s="19">
        <f t="shared" si="3"/>
        <v>40</v>
      </c>
      <c r="J28" s="18">
        <v>1</v>
      </c>
      <c r="K28" s="19" t="s">
        <v>13</v>
      </c>
      <c r="L28" s="16">
        <v>14791</v>
      </c>
      <c r="M28" s="18">
        <v>2125</v>
      </c>
      <c r="N28" s="20">
        <v>46059</v>
      </c>
      <c r="O28" s="40" t="s">
        <v>51</v>
      </c>
      <c r="P28" s="51"/>
    </row>
    <row r="29" spans="1:16" s="44" customFormat="1" ht="24.9" customHeight="1">
      <c r="A29" s="14">
        <v>27</v>
      </c>
      <c r="B29" s="19" t="s">
        <v>13</v>
      </c>
      <c r="C29" s="15" t="s">
        <v>161</v>
      </c>
      <c r="D29" s="16">
        <v>259.5</v>
      </c>
      <c r="E29" s="16" t="s">
        <v>13</v>
      </c>
      <c r="F29" s="17" t="s">
        <v>13</v>
      </c>
      <c r="G29" s="18">
        <v>43</v>
      </c>
      <c r="H29" s="18">
        <v>1</v>
      </c>
      <c r="I29" s="19">
        <f t="shared" si="3"/>
        <v>43</v>
      </c>
      <c r="J29" s="18">
        <v>1</v>
      </c>
      <c r="K29" s="19" t="s">
        <v>13</v>
      </c>
      <c r="L29" s="16">
        <v>21797.040000000001</v>
      </c>
      <c r="M29" s="18">
        <v>3131</v>
      </c>
      <c r="N29" s="20">
        <v>46080</v>
      </c>
      <c r="O29" s="40" t="s">
        <v>42</v>
      </c>
      <c r="P29" s="51"/>
    </row>
    <row r="30" spans="1:16" ht="24.9" customHeight="1">
      <c r="A30" s="14">
        <v>28</v>
      </c>
      <c r="B30" s="19">
        <v>37</v>
      </c>
      <c r="C30" s="15" t="s">
        <v>193</v>
      </c>
      <c r="D30" s="16">
        <v>255.5</v>
      </c>
      <c r="E30" s="16">
        <v>101.65</v>
      </c>
      <c r="F30" s="17">
        <f>(D30-E30)/E30</f>
        <v>1.513526807673389</v>
      </c>
      <c r="G30" s="18">
        <v>42</v>
      </c>
      <c r="H30" s="18">
        <v>1</v>
      </c>
      <c r="I30" s="19">
        <f t="shared" si="3"/>
        <v>42</v>
      </c>
      <c r="J30" s="18">
        <v>1</v>
      </c>
      <c r="K30" s="19">
        <v>5</v>
      </c>
      <c r="L30" s="16">
        <v>9071.9</v>
      </c>
      <c r="M30" s="18">
        <v>1181</v>
      </c>
      <c r="N30" s="20">
        <v>46104</v>
      </c>
      <c r="O30" s="40" t="s">
        <v>47</v>
      </c>
      <c r="P30" s="51"/>
    </row>
    <row r="31" spans="1:16" ht="24.9" customHeight="1">
      <c r="A31" s="14">
        <v>29</v>
      </c>
      <c r="B31" s="19" t="s">
        <v>13</v>
      </c>
      <c r="C31" s="15" t="s">
        <v>164</v>
      </c>
      <c r="D31" s="16">
        <v>226.99</v>
      </c>
      <c r="E31" s="16" t="s">
        <v>13</v>
      </c>
      <c r="F31" s="17" t="s">
        <v>13</v>
      </c>
      <c r="G31" s="18">
        <v>43</v>
      </c>
      <c r="H31" s="18">
        <v>1</v>
      </c>
      <c r="I31" s="19">
        <f t="shared" si="3"/>
        <v>43</v>
      </c>
      <c r="J31" s="18">
        <v>1</v>
      </c>
      <c r="K31" s="19" t="s">
        <v>13</v>
      </c>
      <c r="L31" s="16">
        <v>30388.69</v>
      </c>
      <c r="M31" s="18">
        <v>5166</v>
      </c>
      <c r="N31" s="20">
        <v>46080</v>
      </c>
      <c r="O31" s="40" t="s">
        <v>166</v>
      </c>
      <c r="P31" s="51"/>
    </row>
    <row r="32" spans="1:16" ht="24.9" customHeight="1">
      <c r="A32" s="14">
        <v>30</v>
      </c>
      <c r="B32" s="19">
        <v>21</v>
      </c>
      <c r="C32" s="15" t="s">
        <v>163</v>
      </c>
      <c r="D32" s="16">
        <v>194</v>
      </c>
      <c r="E32" s="16">
        <v>621</v>
      </c>
      <c r="F32" s="17">
        <f t="shared" ref="F32:F38" si="4">(D32-E32)/E32</f>
        <v>-0.6876006441223832</v>
      </c>
      <c r="G32" s="18">
        <v>24</v>
      </c>
      <c r="H32" s="18">
        <v>2</v>
      </c>
      <c r="I32" s="19">
        <f t="shared" si="3"/>
        <v>12</v>
      </c>
      <c r="J32" s="18">
        <v>1</v>
      </c>
      <c r="K32" s="19">
        <v>8</v>
      </c>
      <c r="L32" s="16">
        <v>122334.51</v>
      </c>
      <c r="M32" s="18">
        <v>15390</v>
      </c>
      <c r="N32" s="20">
        <v>46080</v>
      </c>
      <c r="O32" s="40" t="s">
        <v>38</v>
      </c>
      <c r="P32" s="51"/>
    </row>
    <row r="33" spans="1:16" s="44" customFormat="1" ht="24.9" customHeight="1">
      <c r="A33" s="14">
        <v>31</v>
      </c>
      <c r="B33" s="19">
        <v>41</v>
      </c>
      <c r="C33" s="15" t="s">
        <v>199</v>
      </c>
      <c r="D33" s="16">
        <v>167.75</v>
      </c>
      <c r="E33" s="16">
        <v>39.6</v>
      </c>
      <c r="F33" s="17">
        <f t="shared" si="4"/>
        <v>3.2361111111111112</v>
      </c>
      <c r="G33" s="18">
        <v>31</v>
      </c>
      <c r="H33" s="18">
        <v>2</v>
      </c>
      <c r="I33" s="19">
        <f t="shared" si="3"/>
        <v>15.5</v>
      </c>
      <c r="J33" s="18">
        <v>2</v>
      </c>
      <c r="K33" s="19">
        <v>5</v>
      </c>
      <c r="L33" s="16">
        <v>1311.6</v>
      </c>
      <c r="M33" s="18">
        <v>237</v>
      </c>
      <c r="N33" s="20">
        <v>46104</v>
      </c>
      <c r="O33" s="40" t="s">
        <v>47</v>
      </c>
      <c r="P33" s="51"/>
    </row>
    <row r="34" spans="1:16" s="44" customFormat="1" ht="24.9" customHeight="1">
      <c r="A34" s="14">
        <v>32</v>
      </c>
      <c r="B34" s="19">
        <v>22</v>
      </c>
      <c r="C34" s="15" t="s">
        <v>181</v>
      </c>
      <c r="D34" s="16">
        <v>152</v>
      </c>
      <c r="E34" s="16">
        <v>569</v>
      </c>
      <c r="F34" s="17">
        <f t="shared" si="4"/>
        <v>-0.73286467486818985</v>
      </c>
      <c r="G34" s="18">
        <v>31</v>
      </c>
      <c r="H34" s="19" t="s">
        <v>13</v>
      </c>
      <c r="I34" s="19" t="s">
        <v>13</v>
      </c>
      <c r="J34" s="18">
        <v>2</v>
      </c>
      <c r="K34" s="19">
        <v>5</v>
      </c>
      <c r="L34" s="16">
        <v>22080</v>
      </c>
      <c r="M34" s="18">
        <v>4144</v>
      </c>
      <c r="N34" s="20">
        <v>46101</v>
      </c>
      <c r="O34" s="40" t="s">
        <v>44</v>
      </c>
      <c r="P34" s="51"/>
    </row>
    <row r="35" spans="1:16" s="44" customFormat="1" ht="24.9" customHeight="1">
      <c r="A35" s="14">
        <v>33</v>
      </c>
      <c r="B35" s="19">
        <v>26</v>
      </c>
      <c r="C35" s="15" t="s">
        <v>223</v>
      </c>
      <c r="D35" s="16">
        <v>104</v>
      </c>
      <c r="E35" s="16">
        <v>403</v>
      </c>
      <c r="F35" s="17">
        <f t="shared" si="4"/>
        <v>-0.74193548387096775</v>
      </c>
      <c r="G35" s="18">
        <v>16</v>
      </c>
      <c r="H35" s="18">
        <v>7</v>
      </c>
      <c r="I35" s="19">
        <f t="shared" ref="I35:I44" si="5">G35/H35</f>
        <v>2.2857142857142856</v>
      </c>
      <c r="J35" s="18">
        <v>6</v>
      </c>
      <c r="K35" s="19">
        <v>2</v>
      </c>
      <c r="L35" s="16">
        <v>797</v>
      </c>
      <c r="M35" s="18">
        <v>163</v>
      </c>
      <c r="N35" s="20">
        <v>46122</v>
      </c>
      <c r="O35" s="40" t="s">
        <v>86</v>
      </c>
      <c r="P35" s="51"/>
    </row>
    <row r="36" spans="1:16" s="44" customFormat="1" ht="24.9" customHeight="1">
      <c r="A36" s="14">
        <v>34</v>
      </c>
      <c r="B36" s="19">
        <v>24</v>
      </c>
      <c r="C36" s="15" t="s">
        <v>204</v>
      </c>
      <c r="D36" s="16">
        <v>97</v>
      </c>
      <c r="E36" s="16">
        <v>552.70000000000005</v>
      </c>
      <c r="F36" s="17">
        <f t="shared" si="4"/>
        <v>-0.82449791930522887</v>
      </c>
      <c r="G36" s="18">
        <v>14</v>
      </c>
      <c r="H36" s="18">
        <v>2</v>
      </c>
      <c r="I36" s="19">
        <f t="shared" si="5"/>
        <v>7</v>
      </c>
      <c r="J36" s="18">
        <v>1</v>
      </c>
      <c r="K36" s="19">
        <v>4</v>
      </c>
      <c r="L36" s="16">
        <v>17075.419999999998</v>
      </c>
      <c r="M36" s="18">
        <v>2308</v>
      </c>
      <c r="N36" s="20">
        <v>46108</v>
      </c>
      <c r="O36" s="40" t="s">
        <v>55</v>
      </c>
      <c r="P36" s="51"/>
    </row>
    <row r="37" spans="1:16" ht="24.9" customHeight="1">
      <c r="A37" s="14">
        <v>35</v>
      </c>
      <c r="B37" s="19">
        <v>32</v>
      </c>
      <c r="C37" s="15" t="s">
        <v>78</v>
      </c>
      <c r="D37" s="16">
        <v>93.55</v>
      </c>
      <c r="E37" s="16">
        <v>137.19999999999999</v>
      </c>
      <c r="F37" s="17">
        <f t="shared" si="4"/>
        <v>-0.3181486880466472</v>
      </c>
      <c r="G37" s="18">
        <v>11</v>
      </c>
      <c r="H37" s="18">
        <v>1</v>
      </c>
      <c r="I37" s="19">
        <f t="shared" si="5"/>
        <v>11</v>
      </c>
      <c r="J37" s="18">
        <v>1</v>
      </c>
      <c r="K37" s="19">
        <v>13</v>
      </c>
      <c r="L37" s="16">
        <v>152100.01999999999</v>
      </c>
      <c r="M37" s="18">
        <v>21066</v>
      </c>
      <c r="N37" s="20">
        <v>46038</v>
      </c>
      <c r="O37" s="40" t="s">
        <v>47</v>
      </c>
      <c r="P37" s="51"/>
    </row>
    <row r="38" spans="1:16" ht="24.9" customHeight="1">
      <c r="A38" s="14">
        <v>36</v>
      </c>
      <c r="B38" s="19">
        <v>27</v>
      </c>
      <c r="C38" s="15" t="s">
        <v>135</v>
      </c>
      <c r="D38" s="16">
        <v>80</v>
      </c>
      <c r="E38" s="16">
        <v>201</v>
      </c>
      <c r="F38" s="17">
        <f t="shared" si="4"/>
        <v>-0.60199004975124382</v>
      </c>
      <c r="G38" s="18">
        <v>16</v>
      </c>
      <c r="H38" s="18">
        <v>1</v>
      </c>
      <c r="I38" s="19">
        <f t="shared" si="5"/>
        <v>16</v>
      </c>
      <c r="J38" s="18">
        <v>1</v>
      </c>
      <c r="K38" s="19" t="s">
        <v>13</v>
      </c>
      <c r="L38" s="16">
        <v>73114.350000000006</v>
      </c>
      <c r="M38" s="18">
        <v>12609</v>
      </c>
      <c r="N38" s="20">
        <v>46066</v>
      </c>
      <c r="O38" s="40" t="s">
        <v>46</v>
      </c>
      <c r="P38" s="51"/>
    </row>
    <row r="39" spans="1:16" s="44" customFormat="1" ht="24.9" customHeight="1">
      <c r="A39" s="14">
        <v>37</v>
      </c>
      <c r="B39" s="19" t="s">
        <v>13</v>
      </c>
      <c r="C39" s="15" t="s">
        <v>196</v>
      </c>
      <c r="D39" s="16">
        <v>59.5</v>
      </c>
      <c r="E39" s="16" t="s">
        <v>13</v>
      </c>
      <c r="F39" s="17" t="s">
        <v>13</v>
      </c>
      <c r="G39" s="18">
        <v>9</v>
      </c>
      <c r="H39" s="18">
        <v>1</v>
      </c>
      <c r="I39" s="19">
        <f t="shared" si="5"/>
        <v>9</v>
      </c>
      <c r="J39" s="18">
        <v>1</v>
      </c>
      <c r="K39" s="19" t="s">
        <v>13</v>
      </c>
      <c r="L39" s="16">
        <v>3275.4</v>
      </c>
      <c r="M39" s="18">
        <v>478</v>
      </c>
      <c r="N39" s="20">
        <v>46104</v>
      </c>
      <c r="O39" s="40" t="s">
        <v>47</v>
      </c>
      <c r="P39" s="51"/>
    </row>
    <row r="40" spans="1:16" s="44" customFormat="1" ht="24.9" customHeight="1">
      <c r="A40" s="14">
        <v>38</v>
      </c>
      <c r="B40" s="19">
        <v>40</v>
      </c>
      <c r="C40" s="15" t="s">
        <v>175</v>
      </c>
      <c r="D40" s="16">
        <v>45</v>
      </c>
      <c r="E40" s="16">
        <v>40</v>
      </c>
      <c r="F40" s="17">
        <f>(D40-E40)/E40</f>
        <v>0.125</v>
      </c>
      <c r="G40" s="18">
        <v>11</v>
      </c>
      <c r="H40" s="18">
        <v>1</v>
      </c>
      <c r="I40" s="19">
        <f t="shared" si="5"/>
        <v>11</v>
      </c>
      <c r="J40" s="18">
        <v>1</v>
      </c>
      <c r="K40" s="19">
        <v>5</v>
      </c>
      <c r="L40" s="16">
        <v>20401.23</v>
      </c>
      <c r="M40" s="18">
        <v>3706</v>
      </c>
      <c r="N40" s="20">
        <v>46101</v>
      </c>
      <c r="O40" s="40" t="s">
        <v>42</v>
      </c>
      <c r="P40" s="51"/>
    </row>
    <row r="41" spans="1:16" s="44" customFormat="1" ht="24.9" customHeight="1">
      <c r="A41" s="14">
        <v>39</v>
      </c>
      <c r="B41" s="19" t="s">
        <v>13</v>
      </c>
      <c r="C41" s="15" t="s">
        <v>89</v>
      </c>
      <c r="D41" s="16">
        <v>40.799999999999997</v>
      </c>
      <c r="E41" s="16" t="s">
        <v>13</v>
      </c>
      <c r="F41" s="17" t="s">
        <v>13</v>
      </c>
      <c r="G41" s="18">
        <v>8</v>
      </c>
      <c r="H41" s="18">
        <v>1</v>
      </c>
      <c r="I41" s="19">
        <f t="shared" si="5"/>
        <v>8</v>
      </c>
      <c r="J41" s="18">
        <v>1</v>
      </c>
      <c r="K41" s="19" t="s">
        <v>13</v>
      </c>
      <c r="L41" s="16">
        <v>704700.05</v>
      </c>
      <c r="M41" s="18">
        <v>86832</v>
      </c>
      <c r="N41" s="20">
        <v>46045</v>
      </c>
      <c r="O41" s="40" t="s">
        <v>42</v>
      </c>
      <c r="P41" s="51"/>
    </row>
    <row r="42" spans="1:16" s="44" customFormat="1" ht="24.9" customHeight="1">
      <c r="A42" s="14">
        <v>40</v>
      </c>
      <c r="B42" s="19" t="s">
        <v>49</v>
      </c>
      <c r="C42" s="15" t="s">
        <v>244</v>
      </c>
      <c r="D42" s="16">
        <v>33</v>
      </c>
      <c r="E42" s="16" t="s">
        <v>13</v>
      </c>
      <c r="F42" s="17" t="s">
        <v>13</v>
      </c>
      <c r="G42" s="18">
        <v>5</v>
      </c>
      <c r="H42" s="18">
        <v>1</v>
      </c>
      <c r="I42" s="19">
        <f t="shared" si="5"/>
        <v>5</v>
      </c>
      <c r="J42" s="18">
        <v>1</v>
      </c>
      <c r="K42" s="19" t="s">
        <v>13</v>
      </c>
      <c r="L42" s="16">
        <v>279.86</v>
      </c>
      <c r="M42" s="18">
        <v>56</v>
      </c>
      <c r="N42" s="20">
        <v>46104</v>
      </c>
      <c r="O42" s="40" t="s">
        <v>47</v>
      </c>
      <c r="P42" s="51"/>
    </row>
    <row r="43" spans="1:16" s="44" customFormat="1" ht="24.9" customHeight="1">
      <c r="A43" s="14">
        <v>41</v>
      </c>
      <c r="B43" s="19" t="s">
        <v>13</v>
      </c>
      <c r="C43" s="15" t="s">
        <v>219</v>
      </c>
      <c r="D43" s="16">
        <v>17.899999999999999</v>
      </c>
      <c r="E43" s="16" t="s">
        <v>13</v>
      </c>
      <c r="F43" s="17" t="s">
        <v>13</v>
      </c>
      <c r="G43" s="18">
        <v>2</v>
      </c>
      <c r="H43" s="18">
        <v>1</v>
      </c>
      <c r="I43" s="19">
        <f t="shared" si="5"/>
        <v>2</v>
      </c>
      <c r="J43" s="18">
        <v>1</v>
      </c>
      <c r="K43" s="19" t="s">
        <v>13</v>
      </c>
      <c r="L43" s="16">
        <v>85.300000000000011</v>
      </c>
      <c r="M43" s="18">
        <v>12</v>
      </c>
      <c r="N43" s="20">
        <v>46104</v>
      </c>
      <c r="O43" s="40" t="s">
        <v>245</v>
      </c>
      <c r="P43" s="51"/>
    </row>
    <row r="44" spans="1:16" s="44" customFormat="1" ht="24.9" customHeight="1">
      <c r="A44" s="14">
        <v>42</v>
      </c>
      <c r="B44" s="19" t="s">
        <v>13</v>
      </c>
      <c r="C44" s="15" t="s">
        <v>242</v>
      </c>
      <c r="D44" s="16">
        <v>8.4</v>
      </c>
      <c r="E44" s="16" t="s">
        <v>13</v>
      </c>
      <c r="F44" s="17" t="s">
        <v>13</v>
      </c>
      <c r="G44" s="18">
        <v>2</v>
      </c>
      <c r="H44" s="18">
        <v>1</v>
      </c>
      <c r="I44" s="19">
        <f t="shared" si="5"/>
        <v>2</v>
      </c>
      <c r="J44" s="18">
        <v>1</v>
      </c>
      <c r="K44" s="19" t="s">
        <v>13</v>
      </c>
      <c r="L44" s="16">
        <v>89416.46</v>
      </c>
      <c r="M44" s="18">
        <v>16596</v>
      </c>
      <c r="N44" s="20">
        <v>45947</v>
      </c>
      <c r="O44" s="40" t="s">
        <v>42</v>
      </c>
      <c r="P44" s="51"/>
    </row>
    <row r="45" spans="1:16" ht="24.75" customHeight="1">
      <c r="A45" s="25"/>
      <c r="B45" s="50" t="s">
        <v>14</v>
      </c>
      <c r="C45" s="29" t="s">
        <v>236</v>
      </c>
      <c r="D45" s="27">
        <f>SUBTOTAL(109,Table1324567891011121314151617[Pajamos 
(GBO)])</f>
        <v>209088.30999999994</v>
      </c>
      <c r="E45" s="27" t="s">
        <v>238</v>
      </c>
      <c r="F45" s="43">
        <f>(D45-E45)/E45</f>
        <v>-0.29926903406996325</v>
      </c>
      <c r="G45" s="34">
        <f>SUBTOTAL(109,Table1324567891011121314151617[Žiūrovų sk. 
(ADM)])</f>
        <v>28295</v>
      </c>
      <c r="H45" s="36"/>
      <c r="I45" s="25"/>
      <c r="J45" s="36"/>
      <c r="K45" s="48"/>
      <c r="L45" s="32"/>
      <c r="M45" s="36"/>
      <c r="N45" s="38"/>
      <c r="O45" s="41"/>
      <c r="P45" s="52"/>
    </row>
    <row r="46" spans="1:16"/>
    <row r="47" spans="1:16"/>
    <row r="48" spans="1:1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5AB80-0903-4DA5-832E-BE57BAEBC3B1}">
  <sheetPr>
    <pageSetUpPr fitToPage="1"/>
  </sheetPr>
  <dimension ref="A1:XFC224"/>
  <sheetViews>
    <sheetView zoomScale="60" zoomScaleNormal="60" workbookViewId="0">
      <selection activeCell="O5" sqref="O5"/>
    </sheetView>
  </sheetViews>
  <sheetFormatPr defaultColWidth="0" defaultRowHeight="11.4" zeroHeight="1"/>
  <cols>
    <col min="1" max="1" width="4.75" style="1" customWidth="1"/>
    <col min="2" max="2" width="4.75" style="49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6" s="4" customFormat="1" ht="40.5" customHeight="1" thickBot="1">
      <c r="A1" s="96" t="s">
        <v>221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1" customFormat="1" ht="24.9" customHeight="1">
      <c r="A3" s="14">
        <v>1</v>
      </c>
      <c r="B3" s="19">
        <v>2</v>
      </c>
      <c r="C3" s="15" t="s">
        <v>216</v>
      </c>
      <c r="D3" s="16">
        <v>82913.94</v>
      </c>
      <c r="E3" s="16">
        <v>62711.5</v>
      </c>
      <c r="F3" s="17">
        <f>(D3-E3)/E3</f>
        <v>0.32214888816245829</v>
      </c>
      <c r="G3" s="18">
        <v>12807</v>
      </c>
      <c r="H3" s="18">
        <v>218</v>
      </c>
      <c r="I3" s="19">
        <f t="shared" ref="I3:I12" si="0">G3/H3</f>
        <v>58.747706422018346</v>
      </c>
      <c r="J3" s="18">
        <v>32</v>
      </c>
      <c r="K3" s="19">
        <v>3</v>
      </c>
      <c r="L3" s="16">
        <v>267785.26</v>
      </c>
      <c r="M3" s="18">
        <v>42300</v>
      </c>
      <c r="N3" s="20">
        <v>46113</v>
      </c>
      <c r="O3" s="40" t="s">
        <v>207</v>
      </c>
      <c r="P3" s="51"/>
    </row>
    <row r="4" spans="1:16" s="21" customFormat="1" ht="24.9" customHeight="1">
      <c r="A4" s="14">
        <v>2</v>
      </c>
      <c r="B4" s="19">
        <v>1</v>
      </c>
      <c r="C4" s="15" t="s">
        <v>184</v>
      </c>
      <c r="D4" s="16">
        <v>68750.899999999994</v>
      </c>
      <c r="E4" s="16">
        <v>63306.46</v>
      </c>
      <c r="F4" s="17">
        <f>(D4-E4)/E4</f>
        <v>8.6001333829122575E-2</v>
      </c>
      <c r="G4" s="18">
        <v>7080</v>
      </c>
      <c r="H4" s="18">
        <v>113</v>
      </c>
      <c r="I4" s="19">
        <f t="shared" si="0"/>
        <v>62.654867256637168</v>
      </c>
      <c r="J4" s="18">
        <v>14</v>
      </c>
      <c r="K4" s="19">
        <v>4</v>
      </c>
      <c r="L4" s="16">
        <v>500297.76</v>
      </c>
      <c r="M4" s="18">
        <v>54192</v>
      </c>
      <c r="N4" s="20">
        <v>46101</v>
      </c>
      <c r="O4" s="40" t="s">
        <v>39</v>
      </c>
      <c r="P4" s="51"/>
    </row>
    <row r="5" spans="1:16" s="2" customFormat="1" ht="24.9" customHeight="1">
      <c r="A5" s="14">
        <v>3</v>
      </c>
      <c r="B5" s="19" t="s">
        <v>49</v>
      </c>
      <c r="C5" s="15" t="s">
        <v>235</v>
      </c>
      <c r="D5" s="16">
        <v>53575.02</v>
      </c>
      <c r="E5" s="16" t="s">
        <v>13</v>
      </c>
      <c r="F5" s="17" t="s">
        <v>13</v>
      </c>
      <c r="G5" s="18">
        <v>6968</v>
      </c>
      <c r="H5" s="18">
        <v>113</v>
      </c>
      <c r="I5" s="19">
        <f t="shared" si="0"/>
        <v>61.663716814159294</v>
      </c>
      <c r="J5" s="18">
        <v>18</v>
      </c>
      <c r="K5" s="19">
        <v>1</v>
      </c>
      <c r="L5" s="16">
        <v>62028.56</v>
      </c>
      <c r="M5" s="18">
        <v>8170</v>
      </c>
      <c r="N5" s="20">
        <v>46122</v>
      </c>
      <c r="O5" s="40" t="s">
        <v>47</v>
      </c>
      <c r="P5" s="51"/>
    </row>
    <row r="6" spans="1:16" s="21" customFormat="1" ht="24.9" customHeight="1">
      <c r="A6" s="14">
        <v>4</v>
      </c>
      <c r="B6" s="19">
        <v>5</v>
      </c>
      <c r="C6" s="15" t="s">
        <v>170</v>
      </c>
      <c r="D6" s="16">
        <v>21995.11</v>
      </c>
      <c r="E6" s="16">
        <v>12070.32</v>
      </c>
      <c r="F6" s="17">
        <f>(D6-E6)/E6</f>
        <v>0.82224746319898734</v>
      </c>
      <c r="G6" s="18">
        <v>3515</v>
      </c>
      <c r="H6" s="18">
        <v>95</v>
      </c>
      <c r="I6" s="19">
        <f t="shared" si="0"/>
        <v>37</v>
      </c>
      <c r="J6" s="18">
        <v>15</v>
      </c>
      <c r="K6" s="19">
        <v>6</v>
      </c>
      <c r="L6" s="16">
        <v>320760.84000000003</v>
      </c>
      <c r="M6" s="18">
        <v>53094</v>
      </c>
      <c r="N6" s="20">
        <v>46087</v>
      </c>
      <c r="O6" s="40" t="s">
        <v>37</v>
      </c>
      <c r="P6" s="51"/>
    </row>
    <row r="7" spans="1:16" s="21" customFormat="1" ht="24.9" customHeight="1">
      <c r="A7" s="14">
        <v>5</v>
      </c>
      <c r="B7" s="19">
        <v>4</v>
      </c>
      <c r="C7" s="15" t="s">
        <v>206</v>
      </c>
      <c r="D7" s="16">
        <v>17877.82</v>
      </c>
      <c r="E7" s="16">
        <v>17131.96</v>
      </c>
      <c r="F7" s="17">
        <f>(D7-E7)/E7</f>
        <v>4.3536174494920643E-2</v>
      </c>
      <c r="G7" s="18">
        <v>2256</v>
      </c>
      <c r="H7" s="18">
        <v>78</v>
      </c>
      <c r="I7" s="19">
        <f t="shared" si="0"/>
        <v>28.923076923076923</v>
      </c>
      <c r="J7" s="18">
        <v>17</v>
      </c>
      <c r="K7" s="19">
        <v>3</v>
      </c>
      <c r="L7" s="16">
        <v>143649.93</v>
      </c>
      <c r="M7" s="18">
        <v>18229</v>
      </c>
      <c r="N7" s="20">
        <v>46108</v>
      </c>
      <c r="O7" s="40" t="s">
        <v>207</v>
      </c>
      <c r="P7" s="51"/>
    </row>
    <row r="8" spans="1:16" s="21" customFormat="1" ht="24.9" customHeight="1">
      <c r="A8" s="14">
        <v>6</v>
      </c>
      <c r="B8" s="19">
        <v>6</v>
      </c>
      <c r="C8" s="15" t="s">
        <v>133</v>
      </c>
      <c r="D8" s="16">
        <v>7475.64</v>
      </c>
      <c r="E8" s="16">
        <v>6398.35</v>
      </c>
      <c r="F8" s="17">
        <f>(D8-E8)/E8</f>
        <v>0.16836997038298934</v>
      </c>
      <c r="G8" s="18">
        <v>932</v>
      </c>
      <c r="H8" s="18">
        <v>24</v>
      </c>
      <c r="I8" s="19">
        <f t="shared" si="0"/>
        <v>38.833333333333336</v>
      </c>
      <c r="J8" s="18">
        <v>5</v>
      </c>
      <c r="K8" s="19">
        <v>9</v>
      </c>
      <c r="L8" s="16">
        <v>957523.73999999987</v>
      </c>
      <c r="M8" s="18">
        <v>119174</v>
      </c>
      <c r="N8" s="20">
        <v>46066</v>
      </c>
      <c r="O8" s="40" t="s">
        <v>134</v>
      </c>
      <c r="P8" s="51"/>
    </row>
    <row r="9" spans="1:16" s="21" customFormat="1" ht="24.9" customHeight="1">
      <c r="A9" s="14">
        <v>7</v>
      </c>
      <c r="B9" s="19" t="s">
        <v>49</v>
      </c>
      <c r="C9" s="15" t="s">
        <v>232</v>
      </c>
      <c r="D9" s="16">
        <v>6231.87</v>
      </c>
      <c r="E9" s="16" t="s">
        <v>13</v>
      </c>
      <c r="F9" s="17" t="s">
        <v>13</v>
      </c>
      <c r="G9" s="18">
        <v>776</v>
      </c>
      <c r="H9" s="18">
        <v>60</v>
      </c>
      <c r="I9" s="19">
        <f t="shared" si="0"/>
        <v>12.933333333333334</v>
      </c>
      <c r="J9" s="18">
        <v>13</v>
      </c>
      <c r="K9" s="19">
        <v>1</v>
      </c>
      <c r="L9" s="16">
        <v>6231.87</v>
      </c>
      <c r="M9" s="18">
        <v>776</v>
      </c>
      <c r="N9" s="20">
        <v>46122</v>
      </c>
      <c r="O9" s="40" t="s">
        <v>166</v>
      </c>
      <c r="P9" s="51"/>
    </row>
    <row r="10" spans="1:16" s="21" customFormat="1" ht="24.9" customHeight="1">
      <c r="A10" s="14">
        <v>8</v>
      </c>
      <c r="B10" s="19" t="s">
        <v>49</v>
      </c>
      <c r="C10" s="15" t="s">
        <v>230</v>
      </c>
      <c r="D10" s="16">
        <v>6112.94</v>
      </c>
      <c r="E10" s="16" t="s">
        <v>13</v>
      </c>
      <c r="F10" s="17" t="s">
        <v>13</v>
      </c>
      <c r="G10" s="18">
        <v>1062</v>
      </c>
      <c r="H10" s="18">
        <v>18</v>
      </c>
      <c r="I10" s="19">
        <f t="shared" si="0"/>
        <v>59</v>
      </c>
      <c r="J10" s="18">
        <v>8</v>
      </c>
      <c r="K10" s="19">
        <v>1</v>
      </c>
      <c r="L10" s="16">
        <v>6112.94</v>
      </c>
      <c r="M10" s="18">
        <v>1062</v>
      </c>
      <c r="N10" s="20">
        <v>46122</v>
      </c>
      <c r="O10" s="40" t="s">
        <v>51</v>
      </c>
      <c r="P10" s="51"/>
    </row>
    <row r="11" spans="1:16" s="21" customFormat="1" ht="24.9" customHeight="1">
      <c r="A11" s="14">
        <v>9</v>
      </c>
      <c r="B11" s="19">
        <v>7</v>
      </c>
      <c r="C11" s="15" t="s">
        <v>187</v>
      </c>
      <c r="D11" s="16">
        <v>5585.08</v>
      </c>
      <c r="E11" s="16">
        <v>6252.83</v>
      </c>
      <c r="F11" s="17">
        <f>(D11-E11)/E11</f>
        <v>-0.10679164474326025</v>
      </c>
      <c r="G11" s="18">
        <v>683</v>
      </c>
      <c r="H11" s="18">
        <v>21</v>
      </c>
      <c r="I11" s="19">
        <f t="shared" si="0"/>
        <v>32.523809523809526</v>
      </c>
      <c r="J11" s="18">
        <v>7</v>
      </c>
      <c r="K11" s="19">
        <v>4</v>
      </c>
      <c r="L11" s="16">
        <v>61437.36</v>
      </c>
      <c r="M11" s="18">
        <v>8190</v>
      </c>
      <c r="N11" s="20">
        <v>46101</v>
      </c>
      <c r="O11" s="40" t="s">
        <v>37</v>
      </c>
      <c r="P11" s="51"/>
    </row>
    <row r="12" spans="1:16" s="21" customFormat="1" ht="24.9" customHeight="1">
      <c r="A12" s="14">
        <v>10</v>
      </c>
      <c r="B12" s="19">
        <v>8</v>
      </c>
      <c r="C12" s="15" t="s">
        <v>126</v>
      </c>
      <c r="D12" s="16">
        <v>4125.26</v>
      </c>
      <c r="E12" s="16">
        <v>4599.0600000000004</v>
      </c>
      <c r="F12" s="17">
        <f>(D12-E12)/E12</f>
        <v>-0.10302105212804359</v>
      </c>
      <c r="G12" s="18">
        <v>661</v>
      </c>
      <c r="H12" s="18">
        <v>19</v>
      </c>
      <c r="I12" s="19">
        <f t="shared" si="0"/>
        <v>34.789473684210527</v>
      </c>
      <c r="J12" s="18">
        <v>5</v>
      </c>
      <c r="K12" s="19">
        <v>8</v>
      </c>
      <c r="L12" s="16">
        <v>324661.65000000002</v>
      </c>
      <c r="M12" s="18">
        <v>53395</v>
      </c>
      <c r="N12" s="20">
        <v>46073</v>
      </c>
      <c r="O12" s="40" t="s">
        <v>39</v>
      </c>
      <c r="P12" s="51"/>
    </row>
    <row r="13" spans="1:16" s="21" customFormat="1" ht="24.9" customHeight="1">
      <c r="A13" s="14">
        <v>11</v>
      </c>
      <c r="B13" s="19">
        <v>10</v>
      </c>
      <c r="C13" s="15" t="s">
        <v>131</v>
      </c>
      <c r="D13" s="16">
        <v>3790.5</v>
      </c>
      <c r="E13" s="16">
        <v>3493.0499999999997</v>
      </c>
      <c r="F13" s="17">
        <f>(D13-E13)/E13</f>
        <v>8.5154807403272303E-2</v>
      </c>
      <c r="G13" s="18">
        <v>470</v>
      </c>
      <c r="H13" s="17" t="s">
        <v>13</v>
      </c>
      <c r="I13" s="17" t="s">
        <v>13</v>
      </c>
      <c r="J13" s="18">
        <v>5</v>
      </c>
      <c r="K13" s="19">
        <v>8</v>
      </c>
      <c r="L13" s="16">
        <v>338785.67999999988</v>
      </c>
      <c r="M13" s="18">
        <v>45356</v>
      </c>
      <c r="N13" s="20">
        <v>46073</v>
      </c>
      <c r="O13" s="40" t="s">
        <v>147</v>
      </c>
      <c r="P13" s="51"/>
    </row>
    <row r="14" spans="1:16" s="21" customFormat="1" ht="24.9" customHeight="1">
      <c r="A14" s="14">
        <v>12</v>
      </c>
      <c r="B14" s="19" t="s">
        <v>49</v>
      </c>
      <c r="C14" s="15" t="s">
        <v>225</v>
      </c>
      <c r="D14" s="16">
        <v>2484</v>
      </c>
      <c r="E14" s="17" t="s">
        <v>13</v>
      </c>
      <c r="F14" s="17" t="s">
        <v>13</v>
      </c>
      <c r="G14" s="18">
        <v>330</v>
      </c>
      <c r="H14" s="18" t="s">
        <v>13</v>
      </c>
      <c r="I14" s="19" t="s">
        <v>13</v>
      </c>
      <c r="J14" s="18">
        <v>13</v>
      </c>
      <c r="K14" s="19">
        <v>1</v>
      </c>
      <c r="L14" s="16">
        <v>2484</v>
      </c>
      <c r="M14" s="18">
        <v>330</v>
      </c>
      <c r="N14" s="20">
        <v>46122</v>
      </c>
      <c r="O14" s="40" t="s">
        <v>44</v>
      </c>
      <c r="P14" s="51"/>
    </row>
    <row r="15" spans="1:16" s="21" customFormat="1" ht="24.9" customHeight="1">
      <c r="A15" s="14">
        <v>13</v>
      </c>
      <c r="B15" s="19">
        <v>21</v>
      </c>
      <c r="C15" s="15" t="s">
        <v>192</v>
      </c>
      <c r="D15" s="16">
        <v>2432.46</v>
      </c>
      <c r="E15" s="16">
        <v>267.3</v>
      </c>
      <c r="F15" s="17">
        <f>(D15-E15)/E15</f>
        <v>8.1001122334455662</v>
      </c>
      <c r="G15" s="18">
        <v>343</v>
      </c>
      <c r="H15" s="18">
        <v>12</v>
      </c>
      <c r="I15" s="19">
        <f t="shared" ref="I15:I23" si="1">G15/H15</f>
        <v>28.583333333333332</v>
      </c>
      <c r="J15" s="18">
        <v>8</v>
      </c>
      <c r="K15" s="19">
        <v>4</v>
      </c>
      <c r="L15" s="16">
        <v>27135.58</v>
      </c>
      <c r="M15" s="18">
        <v>3627</v>
      </c>
      <c r="N15" s="20">
        <v>46104</v>
      </c>
      <c r="O15" s="40" t="s">
        <v>47</v>
      </c>
      <c r="P15" s="51"/>
    </row>
    <row r="16" spans="1:16" s="21" customFormat="1" ht="24.9" customHeight="1">
      <c r="A16" s="14">
        <v>14</v>
      </c>
      <c r="B16" s="19">
        <v>12</v>
      </c>
      <c r="C16" s="15" t="s">
        <v>205</v>
      </c>
      <c r="D16" s="16">
        <v>2416.75</v>
      </c>
      <c r="E16" s="16">
        <v>2690.12</v>
      </c>
      <c r="F16" s="17">
        <f>(D16-E16)/E16</f>
        <v>-0.10162000208169149</v>
      </c>
      <c r="G16" s="18">
        <v>404</v>
      </c>
      <c r="H16" s="18">
        <v>27</v>
      </c>
      <c r="I16" s="19">
        <f t="shared" si="1"/>
        <v>14.962962962962964</v>
      </c>
      <c r="J16" s="18">
        <v>9</v>
      </c>
      <c r="K16" s="19">
        <v>3</v>
      </c>
      <c r="L16" s="16">
        <v>23925.49</v>
      </c>
      <c r="M16" s="18">
        <v>4350</v>
      </c>
      <c r="N16" s="20">
        <v>46108</v>
      </c>
      <c r="O16" s="40" t="s">
        <v>94</v>
      </c>
      <c r="P16" s="51"/>
    </row>
    <row r="17" spans="1:16" s="21" customFormat="1" ht="24.9" customHeight="1">
      <c r="A17" s="14">
        <v>15</v>
      </c>
      <c r="B17" s="19">
        <v>13</v>
      </c>
      <c r="C17" s="15" t="s">
        <v>191</v>
      </c>
      <c r="D17" s="16">
        <v>2157.94</v>
      </c>
      <c r="E17" s="16">
        <v>1176.67</v>
      </c>
      <c r="F17" s="17">
        <f>(D17-E17)/E17</f>
        <v>0.83393814748400141</v>
      </c>
      <c r="G17" s="18">
        <v>291</v>
      </c>
      <c r="H17" s="18">
        <v>15</v>
      </c>
      <c r="I17" s="19">
        <f t="shared" si="1"/>
        <v>19.399999999999999</v>
      </c>
      <c r="J17" s="18">
        <v>7</v>
      </c>
      <c r="K17" s="19">
        <v>4</v>
      </c>
      <c r="L17" s="16">
        <v>42825.51</v>
      </c>
      <c r="M17" s="18">
        <v>5988</v>
      </c>
      <c r="N17" s="20">
        <v>46104</v>
      </c>
      <c r="O17" s="40" t="s">
        <v>47</v>
      </c>
      <c r="P17" s="51"/>
    </row>
    <row r="18" spans="1:16" s="21" customFormat="1" ht="24.9" customHeight="1">
      <c r="A18" s="14">
        <v>16</v>
      </c>
      <c r="B18" s="19">
        <v>9</v>
      </c>
      <c r="C18" s="15" t="s">
        <v>213</v>
      </c>
      <c r="D18" s="16">
        <v>1359.5</v>
      </c>
      <c r="E18" s="16">
        <v>3497.26</v>
      </c>
      <c r="F18" s="17">
        <f>(D18-E18)/E18</f>
        <v>-0.61126710624889202</v>
      </c>
      <c r="G18" s="18">
        <v>206</v>
      </c>
      <c r="H18" s="18">
        <v>9</v>
      </c>
      <c r="I18" s="19">
        <f t="shared" si="1"/>
        <v>22.888888888888889</v>
      </c>
      <c r="J18" s="18">
        <v>5</v>
      </c>
      <c r="K18" s="19">
        <v>2</v>
      </c>
      <c r="L18" s="16">
        <v>6971.56</v>
      </c>
      <c r="M18" s="18">
        <v>1107</v>
      </c>
      <c r="N18" s="20">
        <v>46115</v>
      </c>
      <c r="O18" s="40" t="s">
        <v>46</v>
      </c>
      <c r="P18" s="51"/>
    </row>
    <row r="19" spans="1:16" s="21" customFormat="1" ht="24.9" customHeight="1">
      <c r="A19" s="14">
        <v>17</v>
      </c>
      <c r="B19" s="19" t="s">
        <v>13</v>
      </c>
      <c r="C19" s="15" t="s">
        <v>231</v>
      </c>
      <c r="D19" s="16">
        <v>1307</v>
      </c>
      <c r="E19" s="16" t="s">
        <v>13</v>
      </c>
      <c r="F19" s="17" t="s">
        <v>13</v>
      </c>
      <c r="G19" s="18">
        <v>182</v>
      </c>
      <c r="H19" s="18">
        <v>8</v>
      </c>
      <c r="I19" s="19">
        <f t="shared" si="1"/>
        <v>22.75</v>
      </c>
      <c r="J19" s="18">
        <v>5</v>
      </c>
      <c r="K19" s="19" t="s">
        <v>13</v>
      </c>
      <c r="L19" s="16">
        <v>2575</v>
      </c>
      <c r="M19" s="18">
        <v>401</v>
      </c>
      <c r="N19" s="20">
        <v>46115</v>
      </c>
      <c r="O19" s="40" t="s">
        <v>51</v>
      </c>
      <c r="P19" s="51"/>
    </row>
    <row r="20" spans="1:16" s="21" customFormat="1" ht="24.9" customHeight="1">
      <c r="A20" s="14">
        <v>18</v>
      </c>
      <c r="B20" s="19">
        <v>15</v>
      </c>
      <c r="C20" s="15" t="s">
        <v>123</v>
      </c>
      <c r="D20" s="16">
        <v>1274.69</v>
      </c>
      <c r="E20" s="16">
        <v>938.39</v>
      </c>
      <c r="F20" s="17">
        <f>(D20-E20)/E20</f>
        <v>0.35837977813062805</v>
      </c>
      <c r="G20" s="18">
        <v>161</v>
      </c>
      <c r="H20" s="18">
        <v>5</v>
      </c>
      <c r="I20" s="19">
        <f t="shared" si="1"/>
        <v>32.200000000000003</v>
      </c>
      <c r="J20" s="18">
        <v>2</v>
      </c>
      <c r="K20" s="19">
        <v>9</v>
      </c>
      <c r="L20" s="16">
        <v>520815.03</v>
      </c>
      <c r="M20" s="18">
        <v>61627</v>
      </c>
      <c r="N20" s="20">
        <v>46066</v>
      </c>
      <c r="O20" s="40" t="s">
        <v>55</v>
      </c>
      <c r="P20" s="51"/>
    </row>
    <row r="21" spans="1:16" s="21" customFormat="1" ht="24.9" customHeight="1">
      <c r="A21" s="14">
        <v>19</v>
      </c>
      <c r="B21" s="19">
        <v>17</v>
      </c>
      <c r="C21" s="15" t="s">
        <v>16</v>
      </c>
      <c r="D21" s="16">
        <v>726.54</v>
      </c>
      <c r="E21" s="16">
        <v>579.27</v>
      </c>
      <c r="F21" s="17">
        <f>(D21-E21)/E21</f>
        <v>0.25423377699518357</v>
      </c>
      <c r="G21" s="18">
        <v>80</v>
      </c>
      <c r="H21" s="18">
        <v>5</v>
      </c>
      <c r="I21" s="19">
        <f t="shared" si="1"/>
        <v>16</v>
      </c>
      <c r="J21" s="18">
        <v>1</v>
      </c>
      <c r="K21" s="19" t="s">
        <v>13</v>
      </c>
      <c r="L21" s="16">
        <v>2037457.25</v>
      </c>
      <c r="M21" s="18">
        <v>224260</v>
      </c>
      <c r="N21" s="20">
        <v>46010</v>
      </c>
      <c r="O21" s="40" t="s">
        <v>37</v>
      </c>
      <c r="P21" s="51"/>
    </row>
    <row r="22" spans="1:16" s="44" customFormat="1" ht="24.9" customHeight="1">
      <c r="A22" s="14">
        <v>20</v>
      </c>
      <c r="B22" s="19" t="s">
        <v>13</v>
      </c>
      <c r="C22" s="15" t="s">
        <v>228</v>
      </c>
      <c r="D22" s="16">
        <v>671</v>
      </c>
      <c r="E22" s="17" t="s">
        <v>13</v>
      </c>
      <c r="F22" s="17" t="s">
        <v>13</v>
      </c>
      <c r="G22" s="18">
        <v>113</v>
      </c>
      <c r="H22" s="18">
        <v>1</v>
      </c>
      <c r="I22" s="19">
        <f t="shared" si="1"/>
        <v>113</v>
      </c>
      <c r="J22" s="18">
        <v>1</v>
      </c>
      <c r="K22" s="19" t="s">
        <v>13</v>
      </c>
      <c r="L22" s="16">
        <v>201228.74</v>
      </c>
      <c r="M22" s="18">
        <v>36534</v>
      </c>
      <c r="N22" s="20">
        <v>45905</v>
      </c>
      <c r="O22" s="40" t="s">
        <v>46</v>
      </c>
      <c r="P22" s="51"/>
    </row>
    <row r="23" spans="1:16" s="44" customFormat="1" ht="24.9" customHeight="1">
      <c r="A23" s="14">
        <v>21</v>
      </c>
      <c r="B23" s="19">
        <v>14</v>
      </c>
      <c r="C23" s="15" t="s">
        <v>163</v>
      </c>
      <c r="D23" s="16">
        <v>621</v>
      </c>
      <c r="E23" s="16">
        <v>1108</v>
      </c>
      <c r="F23" s="17">
        <f>(D23-E23)/E23</f>
        <v>-0.43953068592057759</v>
      </c>
      <c r="G23" s="18">
        <v>78</v>
      </c>
      <c r="H23" s="18">
        <v>2</v>
      </c>
      <c r="I23" s="19">
        <f t="shared" si="1"/>
        <v>39</v>
      </c>
      <c r="J23" s="18">
        <v>1</v>
      </c>
      <c r="K23" s="19">
        <v>7</v>
      </c>
      <c r="L23" s="16">
        <v>122140.51</v>
      </c>
      <c r="M23" s="18">
        <v>15366</v>
      </c>
      <c r="N23" s="20">
        <v>46080</v>
      </c>
      <c r="O23" s="40" t="s">
        <v>38</v>
      </c>
      <c r="P23" s="51"/>
    </row>
    <row r="24" spans="1:16" ht="24.9" customHeight="1">
      <c r="A24" s="14">
        <v>22</v>
      </c>
      <c r="B24" s="19">
        <v>23</v>
      </c>
      <c r="C24" s="15" t="s">
        <v>181</v>
      </c>
      <c r="D24" s="16">
        <v>569</v>
      </c>
      <c r="E24" s="16">
        <v>151</v>
      </c>
      <c r="F24" s="17">
        <f>(D24-E24)/E24</f>
        <v>2.7682119205298013</v>
      </c>
      <c r="G24" s="18">
        <v>100</v>
      </c>
      <c r="H24" s="19" t="s">
        <v>13</v>
      </c>
      <c r="I24" s="19" t="s">
        <v>13</v>
      </c>
      <c r="J24" s="18">
        <v>3</v>
      </c>
      <c r="K24" s="19">
        <v>4</v>
      </c>
      <c r="L24" s="16">
        <v>21788</v>
      </c>
      <c r="M24" s="18">
        <v>4077</v>
      </c>
      <c r="N24" s="20">
        <v>46101</v>
      </c>
      <c r="O24" s="40" t="s">
        <v>44</v>
      </c>
      <c r="P24" s="51"/>
    </row>
    <row r="25" spans="1:16" s="44" customFormat="1" ht="24.9" customHeight="1">
      <c r="A25" s="14">
        <v>23</v>
      </c>
      <c r="B25" s="19" t="s">
        <v>13</v>
      </c>
      <c r="C25" s="15" t="s">
        <v>233</v>
      </c>
      <c r="D25" s="16">
        <v>560.72</v>
      </c>
      <c r="E25" s="16" t="s">
        <v>13</v>
      </c>
      <c r="F25" s="17" t="s">
        <v>13</v>
      </c>
      <c r="G25" s="18">
        <v>66</v>
      </c>
      <c r="H25" s="18">
        <v>3</v>
      </c>
      <c r="I25" s="19">
        <f t="shared" ref="I25:I44" si="2">G25/H25</f>
        <v>22</v>
      </c>
      <c r="J25" s="18">
        <v>2</v>
      </c>
      <c r="K25" s="19" t="s">
        <v>13</v>
      </c>
      <c r="L25" s="16">
        <v>23595.26</v>
      </c>
      <c r="M25" s="18">
        <v>3196</v>
      </c>
      <c r="N25" s="20">
        <v>46104</v>
      </c>
      <c r="O25" s="40" t="s">
        <v>47</v>
      </c>
      <c r="P25" s="51"/>
    </row>
    <row r="26" spans="1:16" s="44" customFormat="1" ht="24.9" customHeight="1">
      <c r="A26" s="14">
        <v>24</v>
      </c>
      <c r="B26" s="19">
        <v>11</v>
      </c>
      <c r="C26" s="15" t="s">
        <v>204</v>
      </c>
      <c r="D26" s="16">
        <v>552.70000000000005</v>
      </c>
      <c r="E26" s="16">
        <v>3179.28</v>
      </c>
      <c r="F26" s="17">
        <f>(D26-E26)/E26</f>
        <v>-0.82615560755894413</v>
      </c>
      <c r="G26" s="18">
        <v>71</v>
      </c>
      <c r="H26" s="18">
        <v>4</v>
      </c>
      <c r="I26" s="19">
        <f t="shared" si="2"/>
        <v>17.75</v>
      </c>
      <c r="J26" s="18">
        <v>1</v>
      </c>
      <c r="K26" s="19">
        <v>3</v>
      </c>
      <c r="L26" s="16">
        <v>16850.919999999998</v>
      </c>
      <c r="M26" s="18">
        <v>2278</v>
      </c>
      <c r="N26" s="20">
        <v>46108</v>
      </c>
      <c r="O26" s="40" t="s">
        <v>55</v>
      </c>
      <c r="P26" s="51"/>
    </row>
    <row r="27" spans="1:16" ht="24.9" customHeight="1">
      <c r="A27" s="14">
        <v>25</v>
      </c>
      <c r="B27" s="19" t="s">
        <v>49</v>
      </c>
      <c r="C27" s="15" t="s">
        <v>226</v>
      </c>
      <c r="D27" s="16">
        <v>528.27</v>
      </c>
      <c r="E27" s="17" t="s">
        <v>13</v>
      </c>
      <c r="F27" s="17" t="s">
        <v>13</v>
      </c>
      <c r="G27" s="18">
        <v>63</v>
      </c>
      <c r="H27" s="18">
        <v>23</v>
      </c>
      <c r="I27" s="19">
        <f t="shared" si="2"/>
        <v>2.7391304347826089</v>
      </c>
      <c r="J27" s="18">
        <v>6</v>
      </c>
      <c r="K27" s="19">
        <v>1</v>
      </c>
      <c r="L27" s="16">
        <v>528.27</v>
      </c>
      <c r="M27" s="18">
        <v>63</v>
      </c>
      <c r="N27" s="20">
        <v>46122</v>
      </c>
      <c r="O27" s="40" t="s">
        <v>155</v>
      </c>
      <c r="P27" s="51"/>
    </row>
    <row r="28" spans="1:16" s="44" customFormat="1" ht="24.9" customHeight="1">
      <c r="A28" s="14">
        <v>26</v>
      </c>
      <c r="B28" s="19" t="s">
        <v>49</v>
      </c>
      <c r="C28" s="15" t="s">
        <v>223</v>
      </c>
      <c r="D28" s="16">
        <v>403</v>
      </c>
      <c r="E28" s="17" t="s">
        <v>13</v>
      </c>
      <c r="F28" s="17" t="s">
        <v>13</v>
      </c>
      <c r="G28" s="18">
        <v>91</v>
      </c>
      <c r="H28" s="18">
        <v>16</v>
      </c>
      <c r="I28" s="19">
        <f t="shared" si="2"/>
        <v>5.6875</v>
      </c>
      <c r="J28" s="18">
        <v>8</v>
      </c>
      <c r="K28" s="19">
        <v>1</v>
      </c>
      <c r="L28" s="16">
        <v>403</v>
      </c>
      <c r="M28" s="18">
        <v>91</v>
      </c>
      <c r="N28" s="20">
        <v>46122</v>
      </c>
      <c r="O28" s="40" t="s">
        <v>86</v>
      </c>
      <c r="P28" s="51"/>
    </row>
    <row r="29" spans="1:16" s="44" customFormat="1" ht="24.9" customHeight="1">
      <c r="A29" s="14">
        <v>27</v>
      </c>
      <c r="B29" s="19" t="s">
        <v>13</v>
      </c>
      <c r="C29" s="15" t="s">
        <v>135</v>
      </c>
      <c r="D29" s="16">
        <v>201</v>
      </c>
      <c r="E29" s="17" t="s">
        <v>13</v>
      </c>
      <c r="F29" s="17" t="s">
        <v>13</v>
      </c>
      <c r="G29" s="18">
        <v>41</v>
      </c>
      <c r="H29" s="18">
        <v>2</v>
      </c>
      <c r="I29" s="19">
        <f t="shared" si="2"/>
        <v>20.5</v>
      </c>
      <c r="J29" s="18">
        <v>1</v>
      </c>
      <c r="K29" s="19" t="s">
        <v>13</v>
      </c>
      <c r="L29" s="16">
        <v>73034.350000000006</v>
      </c>
      <c r="M29" s="18">
        <v>12593</v>
      </c>
      <c r="N29" s="20">
        <v>46066</v>
      </c>
      <c r="O29" s="40" t="s">
        <v>46</v>
      </c>
      <c r="P29" s="51"/>
    </row>
    <row r="30" spans="1:16" ht="24.9" customHeight="1">
      <c r="A30" s="14">
        <v>28</v>
      </c>
      <c r="B30" s="19">
        <v>27</v>
      </c>
      <c r="C30" s="15" t="s">
        <v>194</v>
      </c>
      <c r="D30" s="16">
        <v>195.55</v>
      </c>
      <c r="E30" s="16">
        <v>67.95</v>
      </c>
      <c r="F30" s="17">
        <f>(D30-E30)/E30</f>
        <v>1.87785136129507</v>
      </c>
      <c r="G30" s="18">
        <v>28</v>
      </c>
      <c r="H30" s="18">
        <v>2</v>
      </c>
      <c r="I30" s="19">
        <f t="shared" si="2"/>
        <v>14</v>
      </c>
      <c r="J30" s="18">
        <v>2</v>
      </c>
      <c r="K30" s="19">
        <v>4</v>
      </c>
      <c r="L30" s="16">
        <v>5159.1400000000003</v>
      </c>
      <c r="M30" s="18">
        <v>735</v>
      </c>
      <c r="N30" s="20">
        <v>46104</v>
      </c>
      <c r="O30" s="40" t="s">
        <v>47</v>
      </c>
      <c r="P30" s="51"/>
    </row>
    <row r="31" spans="1:16" ht="24.9" customHeight="1">
      <c r="A31" s="14">
        <v>29</v>
      </c>
      <c r="B31" s="19" t="s">
        <v>13</v>
      </c>
      <c r="C31" s="15" t="s">
        <v>29</v>
      </c>
      <c r="D31" s="16">
        <v>190</v>
      </c>
      <c r="E31" s="17" t="s">
        <v>13</v>
      </c>
      <c r="F31" s="17" t="s">
        <v>13</v>
      </c>
      <c r="G31" s="18">
        <v>38</v>
      </c>
      <c r="H31" s="18">
        <v>2</v>
      </c>
      <c r="I31" s="19">
        <f t="shared" si="2"/>
        <v>19</v>
      </c>
      <c r="J31" s="18">
        <v>1</v>
      </c>
      <c r="K31" s="19" t="s">
        <v>13</v>
      </c>
      <c r="L31" s="16">
        <v>31501.129999999997</v>
      </c>
      <c r="M31" s="18">
        <v>5543</v>
      </c>
      <c r="N31" s="20">
        <v>46024</v>
      </c>
      <c r="O31" s="40" t="s">
        <v>46</v>
      </c>
      <c r="P31" s="51"/>
    </row>
    <row r="32" spans="1:16" ht="24.9" customHeight="1">
      <c r="A32" s="14">
        <v>30</v>
      </c>
      <c r="B32" s="19" t="s">
        <v>13</v>
      </c>
      <c r="C32" s="15" t="s">
        <v>227</v>
      </c>
      <c r="D32" s="16">
        <v>159.43</v>
      </c>
      <c r="E32" s="17" t="s">
        <v>13</v>
      </c>
      <c r="F32" s="17" t="s">
        <v>13</v>
      </c>
      <c r="G32" s="18">
        <v>43</v>
      </c>
      <c r="H32" s="18">
        <v>1</v>
      </c>
      <c r="I32" s="19">
        <f t="shared" si="2"/>
        <v>43</v>
      </c>
      <c r="J32" s="18">
        <v>1</v>
      </c>
      <c r="K32" s="19" t="s">
        <v>13</v>
      </c>
      <c r="L32" s="16">
        <v>53541.549999999996</v>
      </c>
      <c r="M32" s="18">
        <v>11417</v>
      </c>
      <c r="N32" s="20">
        <v>45541</v>
      </c>
      <c r="O32" s="40" t="s">
        <v>46</v>
      </c>
      <c r="P32" s="51"/>
    </row>
    <row r="33" spans="1:16" ht="24.9" customHeight="1">
      <c r="A33" s="14">
        <v>31</v>
      </c>
      <c r="B33" s="19" t="s">
        <v>13</v>
      </c>
      <c r="C33" s="15" t="s">
        <v>79</v>
      </c>
      <c r="D33" s="16">
        <v>145</v>
      </c>
      <c r="E33" s="17" t="s">
        <v>13</v>
      </c>
      <c r="F33" s="17" t="s">
        <v>13</v>
      </c>
      <c r="G33" s="18">
        <v>29</v>
      </c>
      <c r="H33" s="18">
        <v>1</v>
      </c>
      <c r="I33" s="19">
        <f t="shared" si="2"/>
        <v>29</v>
      </c>
      <c r="J33" s="18">
        <v>1</v>
      </c>
      <c r="K33" s="19" t="s">
        <v>13</v>
      </c>
      <c r="L33" s="16">
        <v>299162.96999999997</v>
      </c>
      <c r="M33" s="18">
        <v>53404</v>
      </c>
      <c r="N33" s="20">
        <v>46038</v>
      </c>
      <c r="O33" s="40" t="s">
        <v>42</v>
      </c>
      <c r="P33" s="51"/>
    </row>
    <row r="34" spans="1:16" s="44" customFormat="1" ht="24.9" customHeight="1">
      <c r="A34" s="14">
        <v>32</v>
      </c>
      <c r="B34" s="19">
        <v>24</v>
      </c>
      <c r="C34" s="15" t="s">
        <v>78</v>
      </c>
      <c r="D34" s="16">
        <v>137.19999999999999</v>
      </c>
      <c r="E34" s="16">
        <v>146.37</v>
      </c>
      <c r="F34" s="17">
        <f>(D34-E34)/E34</f>
        <v>-6.2649450023912104E-2</v>
      </c>
      <c r="G34" s="18">
        <v>17</v>
      </c>
      <c r="H34" s="18">
        <v>1</v>
      </c>
      <c r="I34" s="19">
        <f t="shared" si="2"/>
        <v>17</v>
      </c>
      <c r="J34" s="18">
        <v>1</v>
      </c>
      <c r="K34" s="19">
        <v>12</v>
      </c>
      <c r="L34" s="16">
        <v>152006.47</v>
      </c>
      <c r="M34" s="18">
        <v>21055</v>
      </c>
      <c r="N34" s="20">
        <v>46038</v>
      </c>
      <c r="O34" s="40" t="s">
        <v>47</v>
      </c>
      <c r="P34" s="51"/>
    </row>
    <row r="35" spans="1:16" s="44" customFormat="1" ht="24.9" customHeight="1">
      <c r="A35" s="14">
        <v>33</v>
      </c>
      <c r="B35" s="19" t="s">
        <v>13</v>
      </c>
      <c r="C35" s="15" t="s">
        <v>234</v>
      </c>
      <c r="D35" s="16">
        <v>135.5</v>
      </c>
      <c r="E35" s="16" t="s">
        <v>13</v>
      </c>
      <c r="F35" s="17" t="s">
        <v>13</v>
      </c>
      <c r="G35" s="18">
        <v>22</v>
      </c>
      <c r="H35" s="18">
        <v>1</v>
      </c>
      <c r="I35" s="19">
        <f t="shared" si="2"/>
        <v>22</v>
      </c>
      <c r="J35" s="18">
        <v>1</v>
      </c>
      <c r="K35" s="19" t="s">
        <v>13</v>
      </c>
      <c r="L35" s="16">
        <v>1667.17</v>
      </c>
      <c r="M35" s="18">
        <v>247</v>
      </c>
      <c r="N35" s="20">
        <v>46104</v>
      </c>
      <c r="O35" s="40" t="s">
        <v>47</v>
      </c>
      <c r="P35" s="51"/>
    </row>
    <row r="36" spans="1:16" s="44" customFormat="1" ht="24.9" customHeight="1">
      <c r="A36" s="14">
        <v>34</v>
      </c>
      <c r="B36" s="19" t="s">
        <v>13</v>
      </c>
      <c r="C36" s="15" t="s">
        <v>209</v>
      </c>
      <c r="D36" s="16">
        <v>121.65</v>
      </c>
      <c r="E36" s="16" t="s">
        <v>13</v>
      </c>
      <c r="F36" s="17" t="s">
        <v>13</v>
      </c>
      <c r="G36" s="18">
        <v>21</v>
      </c>
      <c r="H36" s="18">
        <v>2</v>
      </c>
      <c r="I36" s="19">
        <f t="shared" si="2"/>
        <v>10.5</v>
      </c>
      <c r="J36" s="18">
        <v>2</v>
      </c>
      <c r="K36" s="19" t="s">
        <v>13</v>
      </c>
      <c r="L36" s="16">
        <v>1090.55</v>
      </c>
      <c r="M36" s="18">
        <v>158</v>
      </c>
      <c r="N36" s="20">
        <v>46108</v>
      </c>
      <c r="O36" s="40" t="s">
        <v>210</v>
      </c>
      <c r="P36" s="51"/>
    </row>
    <row r="37" spans="1:16" ht="24.9" customHeight="1">
      <c r="A37" s="14">
        <v>35</v>
      </c>
      <c r="B37" s="19" t="s">
        <v>13</v>
      </c>
      <c r="C37" s="15" t="s">
        <v>200</v>
      </c>
      <c r="D37" s="16">
        <v>120</v>
      </c>
      <c r="E37" s="16" t="s">
        <v>13</v>
      </c>
      <c r="F37" s="17" t="s">
        <v>13</v>
      </c>
      <c r="G37" s="18">
        <v>24</v>
      </c>
      <c r="H37" s="18">
        <v>1</v>
      </c>
      <c r="I37" s="19">
        <f t="shared" si="2"/>
        <v>24</v>
      </c>
      <c r="J37" s="18">
        <v>1</v>
      </c>
      <c r="K37" s="19" t="s">
        <v>13</v>
      </c>
      <c r="L37" s="16">
        <v>493.6</v>
      </c>
      <c r="M37" s="18">
        <v>95</v>
      </c>
      <c r="N37" s="20">
        <v>46104</v>
      </c>
      <c r="O37" s="40" t="s">
        <v>47</v>
      </c>
      <c r="P37" s="51"/>
    </row>
    <row r="38" spans="1:16" ht="24.9" customHeight="1">
      <c r="A38" s="14">
        <v>36</v>
      </c>
      <c r="B38" s="19" t="s">
        <v>13</v>
      </c>
      <c r="C38" s="15" t="s">
        <v>224</v>
      </c>
      <c r="D38" s="16">
        <v>119</v>
      </c>
      <c r="E38" s="17" t="s">
        <v>13</v>
      </c>
      <c r="F38" s="17" t="s">
        <v>13</v>
      </c>
      <c r="G38" s="18">
        <v>17</v>
      </c>
      <c r="H38" s="18">
        <v>1</v>
      </c>
      <c r="I38" s="19">
        <f t="shared" si="2"/>
        <v>17</v>
      </c>
      <c r="J38" s="18">
        <v>1</v>
      </c>
      <c r="K38" s="19" t="s">
        <v>13</v>
      </c>
      <c r="L38" s="16">
        <v>31065</v>
      </c>
      <c r="M38" s="18">
        <v>5290</v>
      </c>
      <c r="N38" s="20">
        <v>45919</v>
      </c>
      <c r="O38" s="40" t="s">
        <v>86</v>
      </c>
      <c r="P38" s="51"/>
    </row>
    <row r="39" spans="1:16" s="44" customFormat="1" ht="24.9" customHeight="1">
      <c r="A39" s="14">
        <v>37</v>
      </c>
      <c r="B39" s="19">
        <v>19</v>
      </c>
      <c r="C39" s="15" t="s">
        <v>193</v>
      </c>
      <c r="D39" s="16">
        <v>101.65</v>
      </c>
      <c r="E39" s="16">
        <v>396.47</v>
      </c>
      <c r="F39" s="17">
        <f>(D39-E39)/E39</f>
        <v>-0.74361237924685353</v>
      </c>
      <c r="G39" s="18">
        <v>10</v>
      </c>
      <c r="H39" s="18">
        <v>1</v>
      </c>
      <c r="I39" s="19">
        <f t="shared" si="2"/>
        <v>10</v>
      </c>
      <c r="J39" s="18">
        <v>1</v>
      </c>
      <c r="K39" s="19">
        <v>4</v>
      </c>
      <c r="L39" s="16">
        <v>8816.4</v>
      </c>
      <c r="M39" s="18">
        <v>1139</v>
      </c>
      <c r="N39" s="20">
        <v>46104</v>
      </c>
      <c r="O39" s="40" t="s">
        <v>47</v>
      </c>
      <c r="P39" s="51"/>
    </row>
    <row r="40" spans="1:16" s="44" customFormat="1" ht="24.9" customHeight="1">
      <c r="A40" s="14">
        <v>38</v>
      </c>
      <c r="B40" s="19" t="s">
        <v>13</v>
      </c>
      <c r="C40" s="15" t="s">
        <v>229</v>
      </c>
      <c r="D40" s="16">
        <v>100</v>
      </c>
      <c r="E40" s="16" t="s">
        <v>13</v>
      </c>
      <c r="F40" s="17" t="s">
        <v>13</v>
      </c>
      <c r="G40" s="18">
        <v>20</v>
      </c>
      <c r="H40" s="18">
        <v>1</v>
      </c>
      <c r="I40" s="19">
        <f t="shared" si="2"/>
        <v>20</v>
      </c>
      <c r="J40" s="18">
        <v>1</v>
      </c>
      <c r="K40" s="19" t="s">
        <v>13</v>
      </c>
      <c r="L40" s="16">
        <v>198268.49</v>
      </c>
      <c r="M40" s="18">
        <v>49532</v>
      </c>
      <c r="N40" s="20">
        <v>44659</v>
      </c>
      <c r="O40" s="40" t="s">
        <v>42</v>
      </c>
      <c r="P40" s="51"/>
    </row>
    <row r="41" spans="1:16" s="44" customFormat="1" ht="24.9" customHeight="1">
      <c r="A41" s="14">
        <v>39</v>
      </c>
      <c r="B41" s="19">
        <v>26</v>
      </c>
      <c r="C41" s="15" t="s">
        <v>218</v>
      </c>
      <c r="D41" s="16">
        <v>60.65</v>
      </c>
      <c r="E41" s="16">
        <v>112.35</v>
      </c>
      <c r="F41" s="17">
        <f>(D41-E41)/E41</f>
        <v>-0.46016911437472185</v>
      </c>
      <c r="G41" s="18">
        <v>8</v>
      </c>
      <c r="H41" s="18">
        <v>1</v>
      </c>
      <c r="I41" s="19">
        <f t="shared" si="2"/>
        <v>8</v>
      </c>
      <c r="J41" s="18">
        <v>1</v>
      </c>
      <c r="K41" s="19" t="s">
        <v>13</v>
      </c>
      <c r="L41" s="16">
        <v>1066.0899999999999</v>
      </c>
      <c r="M41" s="18">
        <v>159</v>
      </c>
      <c r="N41" s="20">
        <v>46104</v>
      </c>
      <c r="O41" s="40" t="s">
        <v>47</v>
      </c>
      <c r="P41" s="51"/>
    </row>
    <row r="42" spans="1:16" s="44" customFormat="1" ht="24.9" customHeight="1">
      <c r="A42" s="14">
        <v>40</v>
      </c>
      <c r="B42" s="19">
        <v>16</v>
      </c>
      <c r="C42" s="15" t="s">
        <v>175</v>
      </c>
      <c r="D42" s="16">
        <v>40</v>
      </c>
      <c r="E42" s="16">
        <v>711.03</v>
      </c>
      <c r="F42" s="17">
        <f>(D42-E42)/E42</f>
        <v>-0.94374358325246477</v>
      </c>
      <c r="G42" s="18">
        <v>8</v>
      </c>
      <c r="H42" s="18">
        <v>2</v>
      </c>
      <c r="I42" s="19">
        <f t="shared" si="2"/>
        <v>4</v>
      </c>
      <c r="J42" s="18">
        <v>1</v>
      </c>
      <c r="K42" s="19">
        <v>4</v>
      </c>
      <c r="L42" s="16">
        <v>20356.23</v>
      </c>
      <c r="M42" s="18">
        <v>3695</v>
      </c>
      <c r="N42" s="20">
        <v>46101</v>
      </c>
      <c r="O42" s="40" t="s">
        <v>42</v>
      </c>
      <c r="P42" s="51"/>
    </row>
    <row r="43" spans="1:16" s="44" customFormat="1" ht="24.9" customHeight="1">
      <c r="A43" s="14">
        <v>41</v>
      </c>
      <c r="B43" s="19">
        <v>32</v>
      </c>
      <c r="C43" s="15" t="s">
        <v>199</v>
      </c>
      <c r="D43" s="16">
        <v>39.6</v>
      </c>
      <c r="E43" s="16">
        <v>38.65</v>
      </c>
      <c r="F43" s="17">
        <f>(D43-E43)/E43</f>
        <v>2.4579560155239401E-2</v>
      </c>
      <c r="G43" s="18">
        <v>9</v>
      </c>
      <c r="H43" s="18">
        <v>1</v>
      </c>
      <c r="I43" s="19">
        <f t="shared" si="2"/>
        <v>9</v>
      </c>
      <c r="J43" s="18">
        <v>1</v>
      </c>
      <c r="K43" s="19">
        <v>4</v>
      </c>
      <c r="L43" s="16">
        <v>928.85</v>
      </c>
      <c r="M43" s="18">
        <v>163</v>
      </c>
      <c r="N43" s="20">
        <v>46104</v>
      </c>
      <c r="O43" s="40" t="s">
        <v>47</v>
      </c>
      <c r="P43" s="51"/>
    </row>
    <row r="44" spans="1:16" s="44" customFormat="1" ht="24.9" customHeight="1">
      <c r="A44" s="14">
        <v>42</v>
      </c>
      <c r="B44" s="19" t="s">
        <v>13</v>
      </c>
      <c r="C44" s="15" t="s">
        <v>115</v>
      </c>
      <c r="D44" s="16">
        <v>21</v>
      </c>
      <c r="E44" s="17" t="s">
        <v>13</v>
      </c>
      <c r="F44" s="17" t="s">
        <v>13</v>
      </c>
      <c r="G44" s="18">
        <v>5</v>
      </c>
      <c r="H44" s="18">
        <v>1</v>
      </c>
      <c r="I44" s="19">
        <f t="shared" si="2"/>
        <v>5</v>
      </c>
      <c r="J44" s="18">
        <v>1</v>
      </c>
      <c r="K44" s="19" t="s">
        <v>13</v>
      </c>
      <c r="L44" s="16">
        <v>9906.4800000000014</v>
      </c>
      <c r="M44" s="18">
        <v>1449</v>
      </c>
      <c r="N44" s="20">
        <v>46059</v>
      </c>
      <c r="O44" s="40" t="s">
        <v>46</v>
      </c>
      <c r="P44" s="51"/>
    </row>
    <row r="45" spans="1:16" ht="24.75" customHeight="1">
      <c r="A45" s="25"/>
      <c r="B45" s="50" t="s">
        <v>14</v>
      </c>
      <c r="C45" s="29" t="s">
        <v>236</v>
      </c>
      <c r="D45" s="27">
        <f>SUBTOTAL(109,Table13245678910111213141516[Pajamos 
(GBO)])</f>
        <v>298385.88000000006</v>
      </c>
      <c r="E45" s="27" t="s">
        <v>222</v>
      </c>
      <c r="F45" s="43">
        <f>(D45-E45)/E45</f>
        <v>0.29679991655584265</v>
      </c>
      <c r="G45" s="34">
        <f>SUBTOTAL(109,Table13245678910111213141516[Žiūrovų sk. 
(ADM)])</f>
        <v>40129</v>
      </c>
      <c r="H45" s="36"/>
      <c r="I45" s="25"/>
      <c r="J45" s="36"/>
      <c r="K45" s="48"/>
      <c r="L45" s="32"/>
      <c r="M45" s="36"/>
      <c r="N45" s="38"/>
      <c r="O45" s="41"/>
      <c r="P45" s="52"/>
    </row>
    <row r="46" spans="1:16"/>
    <row r="47" spans="1:16"/>
    <row r="48" spans="1:1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864DF-8F59-4B1D-B44E-569DDD693FAA}">
  <sheetPr>
    <pageSetUpPr fitToPage="1"/>
  </sheetPr>
  <dimension ref="A1:XFC204"/>
  <sheetViews>
    <sheetView topLeftCell="A8" zoomScale="60" zoomScaleNormal="60" workbookViewId="0">
      <selection activeCell="O21" sqref="O21"/>
    </sheetView>
  </sheetViews>
  <sheetFormatPr defaultColWidth="0" defaultRowHeight="11.4" zeroHeight="1"/>
  <cols>
    <col min="1" max="1" width="4.75" style="1" customWidth="1"/>
    <col min="2" max="2" width="4.75" style="49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6" s="4" customFormat="1" ht="40.5" customHeight="1" thickBot="1">
      <c r="A1" s="96" t="s">
        <v>211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" customFormat="1" ht="24.9" customHeight="1">
      <c r="A3" s="7">
        <v>1</v>
      </c>
      <c r="B3" s="12">
        <v>1</v>
      </c>
      <c r="C3" s="8" t="s">
        <v>184</v>
      </c>
      <c r="D3" s="9">
        <v>63306.46</v>
      </c>
      <c r="E3" s="9">
        <v>93114.04</v>
      </c>
      <c r="F3" s="10">
        <f>(D3-E3)/E3</f>
        <v>-0.32011907119484878</v>
      </c>
      <c r="G3" s="11">
        <v>6483</v>
      </c>
      <c r="H3" s="11">
        <v>102</v>
      </c>
      <c r="I3" s="12">
        <f t="shared" ref="I3:I11" si="0">G3/H3</f>
        <v>63.558823529411768</v>
      </c>
      <c r="J3" s="11">
        <v>11</v>
      </c>
      <c r="K3" s="12">
        <v>3</v>
      </c>
      <c r="L3" s="9">
        <v>361033.3</v>
      </c>
      <c r="M3" s="11">
        <v>39432</v>
      </c>
      <c r="N3" s="13">
        <v>46101</v>
      </c>
      <c r="O3" s="39" t="s">
        <v>39</v>
      </c>
      <c r="P3" s="42"/>
    </row>
    <row r="4" spans="1:16" s="2" customFormat="1" ht="24.9" customHeight="1">
      <c r="A4" s="7">
        <v>2</v>
      </c>
      <c r="B4" s="12" t="s">
        <v>13</v>
      </c>
      <c r="C4" s="8" t="s">
        <v>216</v>
      </c>
      <c r="D4" s="9">
        <v>62711.5</v>
      </c>
      <c r="E4" s="9" t="s">
        <v>13</v>
      </c>
      <c r="F4" s="10" t="s">
        <v>13</v>
      </c>
      <c r="G4" s="11">
        <v>9823</v>
      </c>
      <c r="H4" s="11">
        <v>207</v>
      </c>
      <c r="I4" s="12">
        <f t="shared" si="0"/>
        <v>47.454106280193237</v>
      </c>
      <c r="J4" s="11">
        <v>34</v>
      </c>
      <c r="K4" s="12">
        <v>2</v>
      </c>
      <c r="L4" s="9">
        <v>124301.84</v>
      </c>
      <c r="M4" s="11">
        <v>20057</v>
      </c>
      <c r="N4" s="13">
        <v>46113</v>
      </c>
      <c r="O4" s="39" t="s">
        <v>207</v>
      </c>
      <c r="P4" s="42"/>
    </row>
    <row r="5" spans="1:16" s="2" customFormat="1" ht="24.9" customHeight="1">
      <c r="A5" s="7">
        <v>3</v>
      </c>
      <c r="B5" s="12" t="s">
        <v>13</v>
      </c>
      <c r="C5" s="8" t="s">
        <v>171</v>
      </c>
      <c r="D5" s="9">
        <v>37749</v>
      </c>
      <c r="E5" s="10" t="s">
        <v>13</v>
      </c>
      <c r="F5" s="10" t="s">
        <v>13</v>
      </c>
      <c r="G5" s="11">
        <v>5042</v>
      </c>
      <c r="H5" s="11">
        <v>72</v>
      </c>
      <c r="I5" s="12">
        <f t="shared" si="0"/>
        <v>70.027777777777771</v>
      </c>
      <c r="J5" s="11" t="s">
        <v>13</v>
      </c>
      <c r="K5" s="12" t="s">
        <v>13</v>
      </c>
      <c r="L5" s="9">
        <v>242156</v>
      </c>
      <c r="M5" s="11">
        <v>31459</v>
      </c>
      <c r="N5" s="13">
        <v>46087</v>
      </c>
      <c r="O5" s="39" t="s">
        <v>74</v>
      </c>
      <c r="P5" s="42"/>
    </row>
    <row r="6" spans="1:16" s="21" customFormat="1" ht="24.9" customHeight="1">
      <c r="A6" s="7">
        <v>4</v>
      </c>
      <c r="B6" s="12">
        <v>3</v>
      </c>
      <c r="C6" s="8" t="s">
        <v>206</v>
      </c>
      <c r="D6" s="9">
        <v>17131.96</v>
      </c>
      <c r="E6" s="9">
        <v>40326.86</v>
      </c>
      <c r="F6" s="10">
        <f>(D6-E6)/E6</f>
        <v>-0.57517247809524474</v>
      </c>
      <c r="G6" s="11">
        <v>2151</v>
      </c>
      <c r="H6" s="11">
        <v>82</v>
      </c>
      <c r="I6" s="12">
        <f t="shared" si="0"/>
        <v>26.23170731707317</v>
      </c>
      <c r="J6" s="11">
        <v>16</v>
      </c>
      <c r="K6" s="12">
        <v>2</v>
      </c>
      <c r="L6" s="9">
        <v>104024.32000000001</v>
      </c>
      <c r="M6" s="11">
        <v>13018</v>
      </c>
      <c r="N6" s="13">
        <v>46108</v>
      </c>
      <c r="O6" s="39" t="s">
        <v>207</v>
      </c>
      <c r="P6" s="42"/>
    </row>
    <row r="7" spans="1:16" s="2" customFormat="1" ht="24.9" customHeight="1">
      <c r="A7" s="7">
        <v>5</v>
      </c>
      <c r="B7" s="12">
        <v>4</v>
      </c>
      <c r="C7" s="8" t="s">
        <v>170</v>
      </c>
      <c r="D7" s="9">
        <v>12070.32</v>
      </c>
      <c r="E7" s="9">
        <v>28697.62</v>
      </c>
      <c r="F7" s="10">
        <f>(D7-E7)/E7</f>
        <v>-0.579396479568689</v>
      </c>
      <c r="G7" s="11">
        <v>1976</v>
      </c>
      <c r="H7" s="11">
        <v>80</v>
      </c>
      <c r="I7" s="12">
        <f t="shared" si="0"/>
        <v>24.7</v>
      </c>
      <c r="J7" s="11">
        <v>15</v>
      </c>
      <c r="K7" s="12">
        <v>5</v>
      </c>
      <c r="L7" s="9">
        <v>282998.67</v>
      </c>
      <c r="M7" s="11">
        <v>47045</v>
      </c>
      <c r="N7" s="13">
        <v>46087</v>
      </c>
      <c r="O7" s="39" t="s">
        <v>37</v>
      </c>
      <c r="P7" s="42"/>
    </row>
    <row r="8" spans="1:16" s="2" customFormat="1" ht="24.9" customHeight="1">
      <c r="A8" s="7">
        <v>6</v>
      </c>
      <c r="B8" s="12">
        <v>2</v>
      </c>
      <c r="C8" s="15" t="s">
        <v>133</v>
      </c>
      <c r="D8" s="16">
        <v>6398.35</v>
      </c>
      <c r="E8" s="9">
        <v>51649.32</v>
      </c>
      <c r="F8" s="17">
        <f>(D8-E8)/E8</f>
        <v>-0.87611937582140487</v>
      </c>
      <c r="G8" s="18">
        <v>808</v>
      </c>
      <c r="H8" s="11">
        <v>24</v>
      </c>
      <c r="I8" s="12">
        <f t="shared" si="0"/>
        <v>33.666666666666664</v>
      </c>
      <c r="J8" s="11">
        <v>6</v>
      </c>
      <c r="K8" s="12">
        <v>8</v>
      </c>
      <c r="L8" s="9">
        <v>941489.89999999991</v>
      </c>
      <c r="M8" s="11">
        <v>117105</v>
      </c>
      <c r="N8" s="13">
        <v>46066</v>
      </c>
      <c r="O8" s="39" t="s">
        <v>134</v>
      </c>
      <c r="P8" s="53"/>
    </row>
    <row r="9" spans="1:16" s="2" customFormat="1" ht="24.9" customHeight="1">
      <c r="A9" s="7">
        <v>7</v>
      </c>
      <c r="B9" s="12">
        <v>7</v>
      </c>
      <c r="C9" s="8" t="s">
        <v>187</v>
      </c>
      <c r="D9" s="9">
        <v>6252.83</v>
      </c>
      <c r="E9" s="9">
        <v>9219.01</v>
      </c>
      <c r="F9" s="10">
        <f>(D9-E9)/E9</f>
        <v>-0.32174604431495357</v>
      </c>
      <c r="G9" s="11">
        <v>797</v>
      </c>
      <c r="H9" s="11">
        <v>34</v>
      </c>
      <c r="I9" s="12">
        <f t="shared" si="0"/>
        <v>23.441176470588236</v>
      </c>
      <c r="J9" s="11">
        <v>8</v>
      </c>
      <c r="K9" s="12">
        <v>3</v>
      </c>
      <c r="L9" s="9">
        <v>48060.34</v>
      </c>
      <c r="M9" s="11">
        <v>6450</v>
      </c>
      <c r="N9" s="13">
        <v>46101</v>
      </c>
      <c r="O9" s="39" t="s">
        <v>37</v>
      </c>
      <c r="P9" s="42"/>
    </row>
    <row r="10" spans="1:16" s="2" customFormat="1" ht="24.9" customHeight="1">
      <c r="A10" s="7">
        <v>8</v>
      </c>
      <c r="B10" s="12">
        <v>6</v>
      </c>
      <c r="C10" s="8" t="s">
        <v>126</v>
      </c>
      <c r="D10" s="9">
        <v>4599.0600000000004</v>
      </c>
      <c r="E10" s="9">
        <v>9806.2800000000007</v>
      </c>
      <c r="F10" s="10">
        <f>(D10-E10)/E10</f>
        <v>-0.53100870054699645</v>
      </c>
      <c r="G10" s="11">
        <v>746</v>
      </c>
      <c r="H10" s="11">
        <v>30</v>
      </c>
      <c r="I10" s="12">
        <f t="shared" si="0"/>
        <v>24.866666666666667</v>
      </c>
      <c r="J10" s="11">
        <v>8</v>
      </c>
      <c r="K10" s="12">
        <v>7</v>
      </c>
      <c r="L10" s="9">
        <v>315705.78000000003</v>
      </c>
      <c r="M10" s="11">
        <v>51937</v>
      </c>
      <c r="N10" s="13">
        <v>46073</v>
      </c>
      <c r="O10" s="39" t="s">
        <v>39</v>
      </c>
      <c r="P10" s="42"/>
    </row>
    <row r="11" spans="1:16" s="2" customFormat="1" ht="24.9" customHeight="1">
      <c r="A11" s="7">
        <v>9</v>
      </c>
      <c r="B11" s="12" t="s">
        <v>49</v>
      </c>
      <c r="C11" s="8" t="s">
        <v>213</v>
      </c>
      <c r="D11" s="9">
        <v>3497.26</v>
      </c>
      <c r="E11" s="10" t="s">
        <v>13</v>
      </c>
      <c r="F11" s="10" t="s">
        <v>13</v>
      </c>
      <c r="G11" s="11">
        <v>556</v>
      </c>
      <c r="H11" s="11">
        <v>38</v>
      </c>
      <c r="I11" s="12">
        <f t="shared" si="0"/>
        <v>14.631578947368421</v>
      </c>
      <c r="J11" s="11">
        <v>15</v>
      </c>
      <c r="K11" s="12">
        <v>1</v>
      </c>
      <c r="L11" s="9">
        <v>3497.26</v>
      </c>
      <c r="M11" s="11">
        <v>556</v>
      </c>
      <c r="N11" s="13">
        <v>46115</v>
      </c>
      <c r="O11" s="39" t="s">
        <v>46</v>
      </c>
      <c r="P11" s="42"/>
    </row>
    <row r="12" spans="1:16" s="2" customFormat="1" ht="24.9" customHeight="1">
      <c r="A12" s="7">
        <v>10</v>
      </c>
      <c r="B12" s="12">
        <v>10</v>
      </c>
      <c r="C12" s="8" t="s">
        <v>131</v>
      </c>
      <c r="D12" s="9">
        <v>3493.0499999999997</v>
      </c>
      <c r="E12" s="9">
        <v>5121.99</v>
      </c>
      <c r="F12" s="10">
        <f t="shared" ref="F12:F18" si="1">(D12-E12)/E12</f>
        <v>-0.31802873492529271</v>
      </c>
      <c r="G12" s="11">
        <v>438</v>
      </c>
      <c r="H12" s="10" t="s">
        <v>13</v>
      </c>
      <c r="I12" s="10" t="s">
        <v>13</v>
      </c>
      <c r="J12" s="11">
        <v>4</v>
      </c>
      <c r="K12" s="12">
        <v>7</v>
      </c>
      <c r="L12" s="9">
        <v>327202.7699999999</v>
      </c>
      <c r="M12" s="11">
        <v>43845</v>
      </c>
      <c r="N12" s="13">
        <v>46073</v>
      </c>
      <c r="O12" s="39" t="s">
        <v>147</v>
      </c>
      <c r="P12" s="42"/>
    </row>
    <row r="13" spans="1:16" s="2" customFormat="1" ht="24.9" customHeight="1">
      <c r="A13" s="7">
        <v>11</v>
      </c>
      <c r="B13" s="12">
        <v>9</v>
      </c>
      <c r="C13" s="8" t="s">
        <v>204</v>
      </c>
      <c r="D13" s="9">
        <v>3179.28</v>
      </c>
      <c r="E13" s="9">
        <v>5376.01</v>
      </c>
      <c r="F13" s="10">
        <f t="shared" si="1"/>
        <v>-0.40861717147103521</v>
      </c>
      <c r="G13" s="11">
        <v>390</v>
      </c>
      <c r="H13" s="11">
        <v>27</v>
      </c>
      <c r="I13" s="12">
        <f t="shared" ref="I13:I19" si="2">G13/H13</f>
        <v>14.444444444444445</v>
      </c>
      <c r="J13" s="11">
        <v>9</v>
      </c>
      <c r="K13" s="12">
        <v>2</v>
      </c>
      <c r="L13" s="9">
        <v>12902.17</v>
      </c>
      <c r="M13" s="11">
        <v>1753</v>
      </c>
      <c r="N13" s="13">
        <v>46108</v>
      </c>
      <c r="O13" s="39" t="s">
        <v>55</v>
      </c>
      <c r="P13" s="42"/>
    </row>
    <row r="14" spans="1:16" s="21" customFormat="1" ht="24.9" customHeight="1">
      <c r="A14" s="7">
        <v>12</v>
      </c>
      <c r="B14" s="12">
        <v>8</v>
      </c>
      <c r="C14" s="8" t="s">
        <v>205</v>
      </c>
      <c r="D14" s="9">
        <v>2690.12</v>
      </c>
      <c r="E14" s="9">
        <v>6629.71</v>
      </c>
      <c r="F14" s="10">
        <f t="shared" si="1"/>
        <v>-0.59423262857651393</v>
      </c>
      <c r="G14" s="11">
        <v>454</v>
      </c>
      <c r="H14" s="11">
        <v>37</v>
      </c>
      <c r="I14" s="12">
        <f t="shared" si="2"/>
        <v>12.27027027027027</v>
      </c>
      <c r="J14" s="11">
        <v>12</v>
      </c>
      <c r="K14" s="12">
        <v>2</v>
      </c>
      <c r="L14" s="9">
        <v>16999.5</v>
      </c>
      <c r="M14" s="11">
        <v>3184</v>
      </c>
      <c r="N14" s="13">
        <v>46108</v>
      </c>
      <c r="O14" s="39" t="s">
        <v>94</v>
      </c>
      <c r="P14" s="42"/>
    </row>
    <row r="15" spans="1:16" s="21" customFormat="1" ht="24.9" customHeight="1">
      <c r="A15" s="7">
        <v>13</v>
      </c>
      <c r="B15" s="12">
        <v>5</v>
      </c>
      <c r="C15" s="8" t="s">
        <v>191</v>
      </c>
      <c r="D15" s="9">
        <v>1176.67</v>
      </c>
      <c r="E15" s="9">
        <v>12302.85</v>
      </c>
      <c r="F15" s="10">
        <f t="shared" si="1"/>
        <v>-0.90435793332439229</v>
      </c>
      <c r="G15" s="11">
        <v>156</v>
      </c>
      <c r="H15" s="11">
        <v>10</v>
      </c>
      <c r="I15" s="12">
        <f t="shared" si="2"/>
        <v>15.6</v>
      </c>
      <c r="J15" s="11">
        <v>5</v>
      </c>
      <c r="K15" s="12">
        <v>3</v>
      </c>
      <c r="L15" s="9">
        <v>34316.19</v>
      </c>
      <c r="M15" s="11">
        <v>4699</v>
      </c>
      <c r="N15" s="13">
        <v>46104</v>
      </c>
      <c r="O15" s="39" t="s">
        <v>47</v>
      </c>
      <c r="P15" s="42"/>
    </row>
    <row r="16" spans="1:16" s="2" customFormat="1" ht="24.9" customHeight="1">
      <c r="A16" s="7">
        <v>14</v>
      </c>
      <c r="B16" s="12">
        <v>16</v>
      </c>
      <c r="C16" s="8" t="s">
        <v>163</v>
      </c>
      <c r="D16" s="9">
        <v>1108</v>
      </c>
      <c r="E16" s="9">
        <v>1968.73</v>
      </c>
      <c r="F16" s="10">
        <f t="shared" si="1"/>
        <v>-0.43720063187943498</v>
      </c>
      <c r="G16" s="11">
        <v>135</v>
      </c>
      <c r="H16" s="11">
        <v>5</v>
      </c>
      <c r="I16" s="12">
        <f t="shared" si="2"/>
        <v>27</v>
      </c>
      <c r="J16" s="11">
        <v>2</v>
      </c>
      <c r="K16" s="12">
        <v>6</v>
      </c>
      <c r="L16" s="9">
        <v>120188.31</v>
      </c>
      <c r="M16" s="11">
        <v>15115</v>
      </c>
      <c r="N16" s="13">
        <v>46080</v>
      </c>
      <c r="O16" s="39" t="s">
        <v>38</v>
      </c>
      <c r="P16" s="42"/>
    </row>
    <row r="17" spans="1:16" s="2" customFormat="1" ht="24.9" customHeight="1">
      <c r="A17" s="7">
        <v>15</v>
      </c>
      <c r="B17" s="12">
        <v>15</v>
      </c>
      <c r="C17" s="8" t="s">
        <v>123</v>
      </c>
      <c r="D17" s="9">
        <v>938.39</v>
      </c>
      <c r="E17" s="9">
        <v>2041.71</v>
      </c>
      <c r="F17" s="10">
        <f t="shared" si="1"/>
        <v>-0.54039016314755772</v>
      </c>
      <c r="G17" s="11">
        <v>127</v>
      </c>
      <c r="H17" s="11">
        <v>6</v>
      </c>
      <c r="I17" s="12">
        <f t="shared" si="2"/>
        <v>21.166666666666668</v>
      </c>
      <c r="J17" s="11">
        <v>4</v>
      </c>
      <c r="K17" s="12">
        <v>8</v>
      </c>
      <c r="L17" s="9">
        <v>518287.56</v>
      </c>
      <c r="M17" s="11">
        <v>61296</v>
      </c>
      <c r="N17" s="13">
        <v>46066</v>
      </c>
      <c r="O17" s="39" t="s">
        <v>55</v>
      </c>
      <c r="P17" s="42"/>
    </row>
    <row r="18" spans="1:16" s="21" customFormat="1" ht="24.9" customHeight="1">
      <c r="A18" s="7">
        <v>16</v>
      </c>
      <c r="B18" s="12">
        <v>11</v>
      </c>
      <c r="C18" s="8" t="s">
        <v>175</v>
      </c>
      <c r="D18" s="9">
        <v>711.03</v>
      </c>
      <c r="E18" s="9">
        <v>4543.68</v>
      </c>
      <c r="F18" s="10">
        <f t="shared" si="1"/>
        <v>-0.8435123072047328</v>
      </c>
      <c r="G18" s="11">
        <v>123</v>
      </c>
      <c r="H18" s="11">
        <v>15</v>
      </c>
      <c r="I18" s="12">
        <f t="shared" si="2"/>
        <v>8.1999999999999993</v>
      </c>
      <c r="J18" s="11">
        <v>8</v>
      </c>
      <c r="K18" s="12">
        <v>3</v>
      </c>
      <c r="L18" s="9">
        <v>19388.900000000001</v>
      </c>
      <c r="M18" s="11">
        <v>3540</v>
      </c>
      <c r="N18" s="13">
        <v>46101</v>
      </c>
      <c r="O18" s="39" t="s">
        <v>42</v>
      </c>
      <c r="P18" s="42"/>
    </row>
    <row r="19" spans="1:16" s="21" customFormat="1" ht="24.9" customHeight="1">
      <c r="A19" s="7">
        <v>17</v>
      </c>
      <c r="B19" s="12" t="s">
        <v>13</v>
      </c>
      <c r="C19" s="8" t="s">
        <v>16</v>
      </c>
      <c r="D19" s="9">
        <v>579.27</v>
      </c>
      <c r="E19" s="9" t="s">
        <v>13</v>
      </c>
      <c r="F19" s="10" t="s">
        <v>13</v>
      </c>
      <c r="G19" s="11">
        <v>64</v>
      </c>
      <c r="H19" s="11">
        <v>3</v>
      </c>
      <c r="I19" s="12">
        <f t="shared" si="2"/>
        <v>21.333333333333332</v>
      </c>
      <c r="J19" s="11">
        <v>1</v>
      </c>
      <c r="K19" s="12" t="s">
        <v>13</v>
      </c>
      <c r="L19" s="9">
        <v>2036241.71</v>
      </c>
      <c r="M19" s="11">
        <v>224127</v>
      </c>
      <c r="N19" s="13">
        <v>46010</v>
      </c>
      <c r="O19" s="39" t="s">
        <v>37</v>
      </c>
      <c r="P19" s="42"/>
    </row>
    <row r="20" spans="1:16" s="21" customFormat="1" ht="24.9" customHeight="1">
      <c r="A20" s="7">
        <v>18</v>
      </c>
      <c r="B20" s="12" t="s">
        <v>13</v>
      </c>
      <c r="C20" s="8" t="s">
        <v>105</v>
      </c>
      <c r="D20" s="9">
        <v>424</v>
      </c>
      <c r="E20" s="10" t="s">
        <v>13</v>
      </c>
      <c r="F20" s="10" t="s">
        <v>13</v>
      </c>
      <c r="G20" s="11">
        <v>106</v>
      </c>
      <c r="H20" s="11" t="s">
        <v>13</v>
      </c>
      <c r="I20" s="12" t="s">
        <v>13</v>
      </c>
      <c r="J20" s="11">
        <v>1</v>
      </c>
      <c r="K20" s="12" t="s">
        <v>13</v>
      </c>
      <c r="L20" s="9">
        <v>23152</v>
      </c>
      <c r="M20" s="11">
        <v>4222</v>
      </c>
      <c r="N20" s="13">
        <v>46052</v>
      </c>
      <c r="O20" s="39" t="s">
        <v>44</v>
      </c>
      <c r="P20" s="42"/>
    </row>
    <row r="21" spans="1:16" s="21" customFormat="1" ht="24.9" customHeight="1">
      <c r="A21" s="7">
        <v>19</v>
      </c>
      <c r="B21" s="12">
        <v>14</v>
      </c>
      <c r="C21" s="8" t="s">
        <v>193</v>
      </c>
      <c r="D21" s="9">
        <v>396.47</v>
      </c>
      <c r="E21" s="9">
        <v>2661.32</v>
      </c>
      <c r="F21" s="10">
        <f>(D21-E21)/E21</f>
        <v>-0.85102505523574778</v>
      </c>
      <c r="G21" s="11">
        <v>46</v>
      </c>
      <c r="H21" s="11">
        <v>4</v>
      </c>
      <c r="I21" s="12">
        <f>G21/H21</f>
        <v>11.5</v>
      </c>
      <c r="J21" s="11">
        <v>3</v>
      </c>
      <c r="K21" s="12">
        <v>3</v>
      </c>
      <c r="L21" s="9">
        <v>7510.83</v>
      </c>
      <c r="M21" s="11">
        <v>965</v>
      </c>
      <c r="N21" s="13">
        <v>46104</v>
      </c>
      <c r="O21" s="39" t="s">
        <v>47</v>
      </c>
      <c r="P21" s="42"/>
    </row>
    <row r="22" spans="1:16" s="44" customFormat="1" ht="24.9" customHeight="1">
      <c r="A22" s="7">
        <v>20</v>
      </c>
      <c r="B22" s="12" t="s">
        <v>13</v>
      </c>
      <c r="C22" s="8" t="s">
        <v>212</v>
      </c>
      <c r="D22" s="9">
        <v>273</v>
      </c>
      <c r="E22" s="10" t="s">
        <v>13</v>
      </c>
      <c r="F22" s="10" t="s">
        <v>13</v>
      </c>
      <c r="G22" s="11">
        <v>68</v>
      </c>
      <c r="H22" s="11" t="s">
        <v>13</v>
      </c>
      <c r="I22" s="12" t="s">
        <v>13</v>
      </c>
      <c r="J22" s="11">
        <v>1</v>
      </c>
      <c r="K22" s="12" t="s">
        <v>13</v>
      </c>
      <c r="L22" s="9">
        <v>26850</v>
      </c>
      <c r="M22" s="11">
        <v>5563</v>
      </c>
      <c r="N22" s="13">
        <v>45394</v>
      </c>
      <c r="O22" s="39" t="s">
        <v>44</v>
      </c>
      <c r="P22" s="42"/>
    </row>
    <row r="23" spans="1:16" s="44" customFormat="1" ht="24.9" customHeight="1">
      <c r="A23" s="7">
        <v>21</v>
      </c>
      <c r="B23" s="12">
        <v>13</v>
      </c>
      <c r="C23" s="8" t="s">
        <v>192</v>
      </c>
      <c r="D23" s="9">
        <v>267.3</v>
      </c>
      <c r="E23" s="9">
        <v>3666.33</v>
      </c>
      <c r="F23" s="10">
        <f>(D23-E23)/E23</f>
        <v>-0.9270933058398998</v>
      </c>
      <c r="G23" s="11">
        <v>35</v>
      </c>
      <c r="H23" s="11">
        <v>3</v>
      </c>
      <c r="I23" s="12">
        <f>G23/H23</f>
        <v>11.666666666666666</v>
      </c>
      <c r="J23" s="11">
        <v>2</v>
      </c>
      <c r="K23" s="12">
        <v>3</v>
      </c>
      <c r="L23" s="9">
        <v>20790.37</v>
      </c>
      <c r="M23" s="11">
        <v>2767</v>
      </c>
      <c r="N23" s="13">
        <v>46104</v>
      </c>
      <c r="O23" s="39" t="s">
        <v>47</v>
      </c>
      <c r="P23" s="42"/>
    </row>
    <row r="24" spans="1:16" ht="24.9" customHeight="1">
      <c r="A24" s="7">
        <v>22</v>
      </c>
      <c r="B24" s="12" t="s">
        <v>13</v>
      </c>
      <c r="C24" s="8" t="s">
        <v>177</v>
      </c>
      <c r="D24" s="9">
        <v>180</v>
      </c>
      <c r="E24" s="9" t="s">
        <v>13</v>
      </c>
      <c r="F24" s="10" t="s">
        <v>13</v>
      </c>
      <c r="G24" s="11">
        <v>31</v>
      </c>
      <c r="H24" s="11">
        <v>1</v>
      </c>
      <c r="I24" s="12">
        <f>G24/H24</f>
        <v>31</v>
      </c>
      <c r="J24" s="11">
        <v>1</v>
      </c>
      <c r="K24" s="12" t="s">
        <v>13</v>
      </c>
      <c r="L24" s="9">
        <v>9231.8799999999992</v>
      </c>
      <c r="M24" s="11">
        <v>1369</v>
      </c>
      <c r="N24" s="13">
        <v>46094</v>
      </c>
      <c r="O24" s="39" t="s">
        <v>166</v>
      </c>
      <c r="P24" s="42"/>
    </row>
    <row r="25" spans="1:16" s="44" customFormat="1" ht="24.9" customHeight="1">
      <c r="A25" s="7">
        <v>23</v>
      </c>
      <c r="B25" s="12">
        <v>12</v>
      </c>
      <c r="C25" s="8" t="s">
        <v>181</v>
      </c>
      <c r="D25" s="9">
        <v>151</v>
      </c>
      <c r="E25" s="9">
        <v>4249</v>
      </c>
      <c r="F25" s="10">
        <f>(D25-E25)/E25</f>
        <v>-0.96446222640621326</v>
      </c>
      <c r="G25" s="11">
        <v>33</v>
      </c>
      <c r="H25" s="12" t="s">
        <v>13</v>
      </c>
      <c r="I25" s="12" t="s">
        <v>13</v>
      </c>
      <c r="J25" s="11">
        <v>3</v>
      </c>
      <c r="K25" s="12">
        <v>3</v>
      </c>
      <c r="L25" s="9">
        <v>20126</v>
      </c>
      <c r="M25" s="11">
        <v>3783</v>
      </c>
      <c r="N25" s="13">
        <v>46101</v>
      </c>
      <c r="O25" s="39" t="s">
        <v>44</v>
      </c>
      <c r="P25" s="42"/>
    </row>
    <row r="26" spans="1:16" ht="24.9" customHeight="1">
      <c r="A26" s="7">
        <v>24</v>
      </c>
      <c r="B26" s="12">
        <v>23</v>
      </c>
      <c r="C26" s="8" t="s">
        <v>78</v>
      </c>
      <c r="D26" s="9">
        <v>146.37</v>
      </c>
      <c r="E26" s="9">
        <v>414</v>
      </c>
      <c r="F26" s="10">
        <f>(D26-E26)/E26</f>
        <v>-0.64644927536231878</v>
      </c>
      <c r="G26" s="11">
        <v>17</v>
      </c>
      <c r="H26" s="11">
        <v>1</v>
      </c>
      <c r="I26" s="12">
        <f t="shared" ref="I26:I39" si="3">G26/H26</f>
        <v>17</v>
      </c>
      <c r="J26" s="11">
        <v>1</v>
      </c>
      <c r="K26" s="12">
        <v>11</v>
      </c>
      <c r="L26" s="9">
        <v>151302.92000000001</v>
      </c>
      <c r="M26" s="11">
        <v>20954</v>
      </c>
      <c r="N26" s="13">
        <v>46038</v>
      </c>
      <c r="O26" s="39" t="s">
        <v>47</v>
      </c>
      <c r="P26" s="42"/>
    </row>
    <row r="27" spans="1:16" ht="24.9" customHeight="1">
      <c r="A27" s="7">
        <v>25</v>
      </c>
      <c r="B27" s="12">
        <v>33</v>
      </c>
      <c r="C27" s="8" t="s">
        <v>198</v>
      </c>
      <c r="D27" s="9">
        <v>113.4</v>
      </c>
      <c r="E27" s="9">
        <v>120.25</v>
      </c>
      <c r="F27" s="10">
        <f>(D27-E27)/E27</f>
        <v>-5.6964656964656919E-2</v>
      </c>
      <c r="G27" s="11">
        <v>14</v>
      </c>
      <c r="H27" s="11">
        <v>1</v>
      </c>
      <c r="I27" s="12">
        <f t="shared" si="3"/>
        <v>14</v>
      </c>
      <c r="J27" s="11">
        <v>1</v>
      </c>
      <c r="K27" s="12">
        <v>3</v>
      </c>
      <c r="L27" s="9">
        <v>1237.95</v>
      </c>
      <c r="M27" s="11">
        <v>183</v>
      </c>
      <c r="N27" s="13">
        <v>46104</v>
      </c>
      <c r="O27" s="39" t="s">
        <v>47</v>
      </c>
      <c r="P27" s="42"/>
    </row>
    <row r="28" spans="1:16" ht="24.9" customHeight="1">
      <c r="A28" s="7">
        <v>26</v>
      </c>
      <c r="B28" s="10" t="s">
        <v>13</v>
      </c>
      <c r="C28" s="8" t="s">
        <v>218</v>
      </c>
      <c r="D28" s="9">
        <v>112.35</v>
      </c>
      <c r="E28" s="10" t="s">
        <v>13</v>
      </c>
      <c r="F28" s="10" t="s">
        <v>13</v>
      </c>
      <c r="G28" s="11">
        <v>16</v>
      </c>
      <c r="H28" s="11">
        <v>1</v>
      </c>
      <c r="I28" s="12">
        <f t="shared" si="3"/>
        <v>16</v>
      </c>
      <c r="J28" s="11">
        <v>1</v>
      </c>
      <c r="K28" s="10" t="s">
        <v>13</v>
      </c>
      <c r="L28" s="9">
        <v>801.09</v>
      </c>
      <c r="M28" s="11">
        <v>121</v>
      </c>
      <c r="N28" s="13">
        <v>46104</v>
      </c>
      <c r="O28" s="39" t="s">
        <v>47</v>
      </c>
      <c r="P28" s="42"/>
    </row>
    <row r="29" spans="1:16" ht="24.9" customHeight="1">
      <c r="A29" s="7">
        <v>27</v>
      </c>
      <c r="B29" s="12">
        <v>17</v>
      </c>
      <c r="C29" s="8" t="s">
        <v>194</v>
      </c>
      <c r="D29" s="9">
        <v>67.95</v>
      </c>
      <c r="E29" s="9">
        <v>1533.55</v>
      </c>
      <c r="F29" s="10">
        <f>(D29-E29)/E29</f>
        <v>-0.95569104365687452</v>
      </c>
      <c r="G29" s="11">
        <v>7</v>
      </c>
      <c r="H29" s="11">
        <v>2</v>
      </c>
      <c r="I29" s="12">
        <f t="shared" si="3"/>
        <v>3.5</v>
      </c>
      <c r="J29" s="11">
        <v>1</v>
      </c>
      <c r="K29" s="12">
        <v>3</v>
      </c>
      <c r="L29" s="9">
        <v>4055.22</v>
      </c>
      <c r="M29" s="11">
        <v>565</v>
      </c>
      <c r="N29" s="13">
        <v>46104</v>
      </c>
      <c r="O29" s="39" t="s">
        <v>47</v>
      </c>
      <c r="P29" s="42"/>
    </row>
    <row r="30" spans="1:16" ht="24.9" customHeight="1">
      <c r="A30" s="7">
        <v>28</v>
      </c>
      <c r="B30" s="12">
        <v>20</v>
      </c>
      <c r="C30" s="8" t="s">
        <v>196</v>
      </c>
      <c r="D30" s="9">
        <v>61.6</v>
      </c>
      <c r="E30" s="9">
        <v>511.79</v>
      </c>
      <c r="F30" s="10">
        <f>(D30-E30)/E30</f>
        <v>-0.8796381328279177</v>
      </c>
      <c r="G30" s="11">
        <v>8</v>
      </c>
      <c r="H30" s="11">
        <v>2</v>
      </c>
      <c r="I30" s="12">
        <f t="shared" si="3"/>
        <v>4</v>
      </c>
      <c r="J30" s="11">
        <v>2</v>
      </c>
      <c r="K30" s="12">
        <v>3</v>
      </c>
      <c r="L30" s="9">
        <v>2739.35</v>
      </c>
      <c r="M30" s="11">
        <v>403</v>
      </c>
      <c r="N30" s="13">
        <v>46104</v>
      </c>
      <c r="O30" s="39" t="s">
        <v>47</v>
      </c>
      <c r="P30" s="42"/>
    </row>
    <row r="31" spans="1:16" ht="24.9" customHeight="1">
      <c r="A31" s="7">
        <v>29</v>
      </c>
      <c r="B31" s="10" t="s">
        <v>13</v>
      </c>
      <c r="C31" s="8" t="s">
        <v>219</v>
      </c>
      <c r="D31" s="9">
        <v>53.7</v>
      </c>
      <c r="E31" s="10" t="s">
        <v>13</v>
      </c>
      <c r="F31" s="10" t="s">
        <v>13</v>
      </c>
      <c r="G31" s="11">
        <v>6</v>
      </c>
      <c r="H31" s="11">
        <v>1</v>
      </c>
      <c r="I31" s="12">
        <f t="shared" si="3"/>
        <v>6</v>
      </c>
      <c r="J31" s="11">
        <v>1</v>
      </c>
      <c r="K31" s="10" t="s">
        <v>13</v>
      </c>
      <c r="L31" s="9">
        <v>237.2</v>
      </c>
      <c r="M31" s="11">
        <v>42</v>
      </c>
      <c r="N31" s="13">
        <v>46104</v>
      </c>
      <c r="O31" s="39" t="s">
        <v>47</v>
      </c>
      <c r="P31" s="42"/>
    </row>
    <row r="32" spans="1:16" ht="24.9" customHeight="1">
      <c r="A32" s="7">
        <v>30</v>
      </c>
      <c r="B32" s="12">
        <v>26</v>
      </c>
      <c r="C32" s="8" t="s">
        <v>164</v>
      </c>
      <c r="D32" s="9">
        <v>49.6</v>
      </c>
      <c r="E32" s="9">
        <v>231.49</v>
      </c>
      <c r="F32" s="10">
        <f>(D32-E32)/E32</f>
        <v>-0.78573588491943502</v>
      </c>
      <c r="G32" s="11">
        <v>9</v>
      </c>
      <c r="H32" s="11">
        <v>1</v>
      </c>
      <c r="I32" s="12">
        <f t="shared" si="3"/>
        <v>9</v>
      </c>
      <c r="J32" s="11">
        <v>1</v>
      </c>
      <c r="K32" s="12">
        <v>6</v>
      </c>
      <c r="L32" s="9">
        <v>30052.54</v>
      </c>
      <c r="M32" s="11">
        <v>5103</v>
      </c>
      <c r="N32" s="13">
        <v>46080</v>
      </c>
      <c r="O32" s="39" t="s">
        <v>166</v>
      </c>
      <c r="P32" s="42"/>
    </row>
    <row r="33" spans="1:16" ht="24.9" customHeight="1">
      <c r="A33" s="7">
        <v>31</v>
      </c>
      <c r="B33" s="12">
        <v>19</v>
      </c>
      <c r="C33" s="8" t="s">
        <v>197</v>
      </c>
      <c r="D33" s="9">
        <v>48.3</v>
      </c>
      <c r="E33" s="9">
        <v>785.94</v>
      </c>
      <c r="F33" s="10">
        <f>(D33-E33)/E33</f>
        <v>-0.93854492709367132</v>
      </c>
      <c r="G33" s="11">
        <v>5</v>
      </c>
      <c r="H33" s="11">
        <v>2</v>
      </c>
      <c r="I33" s="12">
        <f t="shared" si="3"/>
        <v>2.5</v>
      </c>
      <c r="J33" s="11">
        <v>1</v>
      </c>
      <c r="K33" s="12">
        <v>3</v>
      </c>
      <c r="L33" s="9">
        <v>2602.4899999999998</v>
      </c>
      <c r="M33" s="11">
        <v>365</v>
      </c>
      <c r="N33" s="13">
        <v>46104</v>
      </c>
      <c r="O33" s="39" t="s">
        <v>47</v>
      </c>
      <c r="P33" s="42"/>
    </row>
    <row r="34" spans="1:16" ht="24.9" customHeight="1">
      <c r="A34" s="7">
        <v>32</v>
      </c>
      <c r="B34" s="12">
        <v>31</v>
      </c>
      <c r="C34" s="8" t="s">
        <v>199</v>
      </c>
      <c r="D34" s="9">
        <v>38.65</v>
      </c>
      <c r="E34" s="9">
        <v>173.25</v>
      </c>
      <c r="F34" s="10">
        <f>(D34-E34)/E34</f>
        <v>-0.77691197691197689</v>
      </c>
      <c r="G34" s="11">
        <v>7</v>
      </c>
      <c r="H34" s="11">
        <v>1</v>
      </c>
      <c r="I34" s="12">
        <f t="shared" si="3"/>
        <v>7</v>
      </c>
      <c r="J34" s="11">
        <v>1</v>
      </c>
      <c r="K34" s="12">
        <v>3</v>
      </c>
      <c r="L34" s="9">
        <v>889.25</v>
      </c>
      <c r="M34" s="11">
        <v>154</v>
      </c>
      <c r="N34" s="13">
        <v>46104</v>
      </c>
      <c r="O34" s="39" t="s">
        <v>47</v>
      </c>
      <c r="P34" s="42"/>
    </row>
    <row r="35" spans="1:16" s="44" customFormat="1" ht="24.9" customHeight="1">
      <c r="A35" s="7">
        <v>33</v>
      </c>
      <c r="B35" s="12">
        <v>18</v>
      </c>
      <c r="C35" s="8" t="s">
        <v>195</v>
      </c>
      <c r="D35" s="9">
        <v>35.380000000000003</v>
      </c>
      <c r="E35" s="9">
        <v>862.23</v>
      </c>
      <c r="F35" s="10">
        <f>(D35-E35)/E35</f>
        <v>-0.95896686498961992</v>
      </c>
      <c r="G35" s="11">
        <v>3</v>
      </c>
      <c r="H35" s="11">
        <v>1</v>
      </c>
      <c r="I35" s="12">
        <f t="shared" si="3"/>
        <v>3</v>
      </c>
      <c r="J35" s="11">
        <v>1</v>
      </c>
      <c r="K35" s="12">
        <v>3</v>
      </c>
      <c r="L35" s="9">
        <v>3079.13</v>
      </c>
      <c r="M35" s="11">
        <v>458</v>
      </c>
      <c r="N35" s="13">
        <v>46104</v>
      </c>
      <c r="O35" s="39" t="s">
        <v>47</v>
      </c>
      <c r="P35" s="42"/>
    </row>
    <row r="36" spans="1:16" s="44" customFormat="1" ht="24.9" customHeight="1">
      <c r="A36" s="7">
        <v>34</v>
      </c>
      <c r="B36" s="12" t="s">
        <v>13</v>
      </c>
      <c r="C36" s="8" t="s">
        <v>169</v>
      </c>
      <c r="D36" s="9">
        <v>26.85</v>
      </c>
      <c r="E36" s="10" t="s">
        <v>13</v>
      </c>
      <c r="F36" s="10" t="s">
        <v>13</v>
      </c>
      <c r="G36" s="11">
        <v>3</v>
      </c>
      <c r="H36" s="11">
        <v>1</v>
      </c>
      <c r="I36" s="12">
        <f t="shared" si="3"/>
        <v>3</v>
      </c>
      <c r="J36" s="11">
        <v>1</v>
      </c>
      <c r="K36" s="12" t="s">
        <v>13</v>
      </c>
      <c r="L36" s="9">
        <v>16408.14</v>
      </c>
      <c r="M36" s="11">
        <v>2003</v>
      </c>
      <c r="N36" s="13">
        <v>46087</v>
      </c>
      <c r="O36" s="39" t="s">
        <v>55</v>
      </c>
      <c r="P36" s="42"/>
    </row>
    <row r="37" spans="1:16" ht="24.9" customHeight="1">
      <c r="A37" s="7">
        <v>35</v>
      </c>
      <c r="B37" s="12" t="s">
        <v>13</v>
      </c>
      <c r="C37" s="8" t="s">
        <v>129</v>
      </c>
      <c r="D37" s="9">
        <v>24.6</v>
      </c>
      <c r="E37" s="9" t="s">
        <v>13</v>
      </c>
      <c r="F37" s="10" t="s">
        <v>13</v>
      </c>
      <c r="G37" s="11">
        <v>5</v>
      </c>
      <c r="H37" s="11">
        <v>1</v>
      </c>
      <c r="I37" s="12">
        <f t="shared" si="3"/>
        <v>5</v>
      </c>
      <c r="J37" s="11">
        <v>1</v>
      </c>
      <c r="K37" s="12" t="s">
        <v>13</v>
      </c>
      <c r="L37" s="9">
        <v>278393.27</v>
      </c>
      <c r="M37" s="11">
        <v>66826</v>
      </c>
      <c r="N37" s="13">
        <v>45814</v>
      </c>
      <c r="O37" s="39" t="s">
        <v>40</v>
      </c>
      <c r="P37" s="42"/>
    </row>
    <row r="38" spans="1:16" ht="24.9" customHeight="1">
      <c r="A38" s="7">
        <v>36</v>
      </c>
      <c r="B38" s="12" t="s">
        <v>13</v>
      </c>
      <c r="C38" s="8" t="s">
        <v>214</v>
      </c>
      <c r="D38" s="9">
        <v>20.399999999999999</v>
      </c>
      <c r="E38" s="9" t="s">
        <v>13</v>
      </c>
      <c r="F38" s="10" t="s">
        <v>13</v>
      </c>
      <c r="G38" s="11">
        <v>4</v>
      </c>
      <c r="H38" s="11">
        <v>1</v>
      </c>
      <c r="I38" s="12">
        <f t="shared" si="3"/>
        <v>4</v>
      </c>
      <c r="J38" s="11">
        <v>1</v>
      </c>
      <c r="K38" s="12" t="s">
        <v>13</v>
      </c>
      <c r="L38" s="9">
        <v>32518.720000000001</v>
      </c>
      <c r="M38" s="11">
        <v>7261</v>
      </c>
      <c r="N38" s="13">
        <v>45794</v>
      </c>
      <c r="O38" s="39" t="s">
        <v>42</v>
      </c>
      <c r="P38" s="42"/>
    </row>
    <row r="39" spans="1:16" s="44" customFormat="1" ht="24.9" customHeight="1">
      <c r="A39" s="7">
        <v>37</v>
      </c>
      <c r="B39" s="12" t="s">
        <v>13</v>
      </c>
      <c r="C39" s="8" t="s">
        <v>215</v>
      </c>
      <c r="D39" s="9">
        <v>10.5</v>
      </c>
      <c r="E39" s="9" t="s">
        <v>13</v>
      </c>
      <c r="F39" s="10" t="s">
        <v>13</v>
      </c>
      <c r="G39" s="11">
        <v>3</v>
      </c>
      <c r="H39" s="11">
        <v>1</v>
      </c>
      <c r="I39" s="12">
        <f t="shared" si="3"/>
        <v>3</v>
      </c>
      <c r="J39" s="11">
        <v>1</v>
      </c>
      <c r="K39" s="12" t="s">
        <v>13</v>
      </c>
      <c r="L39" s="9">
        <v>34961.89</v>
      </c>
      <c r="M39" s="11">
        <v>7133</v>
      </c>
      <c r="N39" s="13">
        <v>45814</v>
      </c>
      <c r="O39" s="39" t="s">
        <v>42</v>
      </c>
      <c r="P39" s="42"/>
    </row>
    <row r="40" spans="1:16" ht="24.9" customHeight="1">
      <c r="A40" s="25"/>
      <c r="B40" s="50" t="s">
        <v>14</v>
      </c>
      <c r="C40" s="29" t="s">
        <v>146</v>
      </c>
      <c r="D40" s="27">
        <f>SUBTOTAL(109,Table132456789101112131415[Pajamos 
(GBO)])</f>
        <v>230093.97</v>
      </c>
      <c r="E40" s="27" t="s">
        <v>220</v>
      </c>
      <c r="F40" s="43">
        <f>(D40-E40)/E40</f>
        <v>-0.20347706431546042</v>
      </c>
      <c r="G40" s="34">
        <f>SUBTOTAL(109,Table132456789101112131415[Žiūrovų sk. 
(ADM)])</f>
        <v>30695</v>
      </c>
      <c r="H40" s="36"/>
      <c r="I40" s="25"/>
      <c r="J40" s="36"/>
      <c r="K40" s="48"/>
      <c r="L40" s="32"/>
      <c r="M40" s="36"/>
      <c r="N40" s="38"/>
      <c r="O40" s="41"/>
      <c r="P40" s="52"/>
    </row>
    <row r="41" spans="1:16"/>
    <row r="42" spans="1:16"/>
    <row r="43" spans="1:16"/>
    <row r="44" spans="1:16"/>
    <row r="45" spans="1:16"/>
    <row r="46" spans="1:16"/>
    <row r="47" spans="1:16"/>
    <row r="48" spans="1:1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2891-4877-4D1D-9BD9-9075B23D83A6}">
  <sheetPr>
    <pageSetUpPr fitToPage="1"/>
  </sheetPr>
  <dimension ref="A1:XFC191"/>
  <sheetViews>
    <sheetView zoomScale="60" zoomScaleNormal="60" workbookViewId="0">
      <selection activeCell="O7" sqref="O7"/>
    </sheetView>
  </sheetViews>
  <sheetFormatPr defaultColWidth="0" defaultRowHeight="11.4" zeroHeight="1"/>
  <cols>
    <col min="1" max="1" width="4.75" style="1" customWidth="1"/>
    <col min="2" max="2" width="4.75" style="49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6" s="4" customFormat="1" ht="40.5" customHeight="1" thickBot="1">
      <c r="A1" s="96" t="s">
        <v>190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1" customFormat="1" ht="24.6" customHeight="1">
      <c r="A3" s="14">
        <v>1</v>
      </c>
      <c r="B3" s="19">
        <v>1</v>
      </c>
      <c r="C3" s="15" t="s">
        <v>184</v>
      </c>
      <c r="D3" s="16">
        <v>93114.04</v>
      </c>
      <c r="E3" s="16">
        <v>87286.01</v>
      </c>
      <c r="F3" s="17">
        <f>(D3-E3)/E3</f>
        <v>6.6769348260964145E-2</v>
      </c>
      <c r="G3" s="18">
        <v>9614</v>
      </c>
      <c r="H3" s="18">
        <v>123</v>
      </c>
      <c r="I3" s="19">
        <f>G3/H3</f>
        <v>78.162601626016254</v>
      </c>
      <c r="J3" s="18">
        <v>14</v>
      </c>
      <c r="K3" s="19">
        <v>2</v>
      </c>
      <c r="L3" s="16">
        <v>238328.21</v>
      </c>
      <c r="M3" s="18">
        <v>25820</v>
      </c>
      <c r="N3" s="20">
        <v>46101</v>
      </c>
      <c r="O3" s="40" t="s">
        <v>39</v>
      </c>
      <c r="P3" s="51"/>
    </row>
    <row r="4" spans="1:16" s="21" customFormat="1" ht="24.9" customHeight="1">
      <c r="A4" s="7">
        <v>2</v>
      </c>
      <c r="B4" s="12">
        <v>5</v>
      </c>
      <c r="C4" s="8" t="s">
        <v>133</v>
      </c>
      <c r="D4" s="9">
        <v>51649.32</v>
      </c>
      <c r="E4" s="9">
        <v>15295.63</v>
      </c>
      <c r="F4" s="17">
        <f>(D4-E4)/E4</f>
        <v>2.3767370157358672</v>
      </c>
      <c r="G4" s="11">
        <v>6497</v>
      </c>
      <c r="H4" s="11">
        <v>94</v>
      </c>
      <c r="I4" s="12">
        <v>33.666666666666664</v>
      </c>
      <c r="J4" s="11">
        <v>16</v>
      </c>
      <c r="K4" s="12">
        <v>7</v>
      </c>
      <c r="L4" s="9">
        <v>929920.04999999993</v>
      </c>
      <c r="M4" s="11">
        <v>115456</v>
      </c>
      <c r="N4" s="13">
        <v>46066</v>
      </c>
      <c r="O4" s="39" t="s">
        <v>134</v>
      </c>
      <c r="P4" s="42"/>
    </row>
    <row r="5" spans="1:16" s="21" customFormat="1" ht="24.9" customHeight="1">
      <c r="A5" s="14">
        <v>3</v>
      </c>
      <c r="B5" s="19" t="s">
        <v>49</v>
      </c>
      <c r="C5" s="15" t="s">
        <v>206</v>
      </c>
      <c r="D5" s="16">
        <v>40326.86</v>
      </c>
      <c r="E5" s="16" t="s">
        <v>13</v>
      </c>
      <c r="F5" s="17" t="s">
        <v>13</v>
      </c>
      <c r="G5" s="18">
        <v>5084</v>
      </c>
      <c r="H5" s="18">
        <v>120</v>
      </c>
      <c r="I5" s="19">
        <f t="shared" ref="I5:I11" si="0">G5/H5</f>
        <v>42.366666666666667</v>
      </c>
      <c r="J5" s="18">
        <v>18</v>
      </c>
      <c r="K5" s="19">
        <v>1</v>
      </c>
      <c r="L5" s="16">
        <v>62382.75</v>
      </c>
      <c r="M5" s="18">
        <v>7434</v>
      </c>
      <c r="N5" s="20">
        <v>46108</v>
      </c>
      <c r="O5" s="40" t="s">
        <v>207</v>
      </c>
      <c r="P5" s="51"/>
    </row>
    <row r="6" spans="1:16" s="21" customFormat="1" ht="24.6" customHeight="1">
      <c r="A6" s="7">
        <v>4</v>
      </c>
      <c r="B6" s="19">
        <v>2</v>
      </c>
      <c r="C6" s="15" t="s">
        <v>170</v>
      </c>
      <c r="D6" s="16">
        <v>28697.62</v>
      </c>
      <c r="E6" s="16">
        <v>36489.74</v>
      </c>
      <c r="F6" s="17">
        <f>(D6-E6)/E6</f>
        <v>-0.21354276571989825</v>
      </c>
      <c r="G6" s="18">
        <v>4908</v>
      </c>
      <c r="H6" s="18">
        <v>114</v>
      </c>
      <c r="I6" s="19">
        <f t="shared" si="0"/>
        <v>43.05263157894737</v>
      </c>
      <c r="J6" s="18">
        <v>21</v>
      </c>
      <c r="K6" s="19">
        <v>4</v>
      </c>
      <c r="L6" s="16">
        <v>243350.43</v>
      </c>
      <c r="M6" s="18">
        <v>40114</v>
      </c>
      <c r="N6" s="20">
        <v>46087</v>
      </c>
      <c r="O6" s="40" t="s">
        <v>37</v>
      </c>
      <c r="P6" s="51"/>
    </row>
    <row r="7" spans="1:16" s="21" customFormat="1" ht="24.6" customHeight="1">
      <c r="A7" s="14">
        <v>5</v>
      </c>
      <c r="B7" s="19" t="s">
        <v>13</v>
      </c>
      <c r="C7" s="15" t="s">
        <v>191</v>
      </c>
      <c r="D7" s="16">
        <v>12302.85</v>
      </c>
      <c r="E7" s="16" t="s">
        <v>13</v>
      </c>
      <c r="F7" s="17" t="s">
        <v>13</v>
      </c>
      <c r="G7" s="18">
        <v>1564</v>
      </c>
      <c r="H7" s="18">
        <v>45</v>
      </c>
      <c r="I7" s="19">
        <f t="shared" si="0"/>
        <v>34.755555555555553</v>
      </c>
      <c r="J7" s="18">
        <v>16</v>
      </c>
      <c r="K7" s="19">
        <v>2</v>
      </c>
      <c r="L7" s="16">
        <v>27184.48</v>
      </c>
      <c r="M7" s="18">
        <v>3663</v>
      </c>
      <c r="N7" s="20">
        <v>46104</v>
      </c>
      <c r="O7" s="40" t="s">
        <v>47</v>
      </c>
      <c r="P7" s="51"/>
    </row>
    <row r="8" spans="1:16" s="21" customFormat="1" ht="24.6" customHeight="1">
      <c r="A8" s="7">
        <v>6</v>
      </c>
      <c r="B8" s="19">
        <v>6</v>
      </c>
      <c r="C8" s="15" t="s">
        <v>126</v>
      </c>
      <c r="D8" s="16">
        <v>9806.2800000000007</v>
      </c>
      <c r="E8" s="16">
        <v>14844.06</v>
      </c>
      <c r="F8" s="17">
        <f>(D8-E8)/E8</f>
        <v>-0.33938019652305362</v>
      </c>
      <c r="G8" s="18">
        <v>1590</v>
      </c>
      <c r="H8" s="18">
        <v>49</v>
      </c>
      <c r="I8" s="19">
        <f t="shared" si="0"/>
        <v>32.448979591836732</v>
      </c>
      <c r="J8" s="18">
        <v>9</v>
      </c>
      <c r="K8" s="19">
        <v>6</v>
      </c>
      <c r="L8" s="16">
        <v>295540.96999999997</v>
      </c>
      <c r="M8" s="18">
        <v>48450</v>
      </c>
      <c r="N8" s="20">
        <v>46073</v>
      </c>
      <c r="O8" s="40" t="s">
        <v>39</v>
      </c>
      <c r="P8" s="51"/>
    </row>
    <row r="9" spans="1:16" s="21" customFormat="1" ht="24.6" customHeight="1">
      <c r="A9" s="14">
        <v>7</v>
      </c>
      <c r="B9" s="19">
        <v>4</v>
      </c>
      <c r="C9" s="15" t="s">
        <v>187</v>
      </c>
      <c r="D9" s="16">
        <v>9219.01</v>
      </c>
      <c r="E9" s="16">
        <v>17497.29</v>
      </c>
      <c r="F9" s="17">
        <f>(D9-E9)/E9</f>
        <v>-0.47311783710506028</v>
      </c>
      <c r="G9" s="18">
        <v>1164</v>
      </c>
      <c r="H9" s="18">
        <v>40</v>
      </c>
      <c r="I9" s="19">
        <f t="shared" si="0"/>
        <v>29.1</v>
      </c>
      <c r="J9" s="18">
        <v>10</v>
      </c>
      <c r="K9" s="19">
        <v>2</v>
      </c>
      <c r="L9" s="16">
        <v>35752.269999999997</v>
      </c>
      <c r="M9" s="18">
        <v>4771</v>
      </c>
      <c r="N9" s="20">
        <v>46101</v>
      </c>
      <c r="O9" s="40" t="s">
        <v>37</v>
      </c>
      <c r="P9" s="51"/>
    </row>
    <row r="10" spans="1:16" s="21" customFormat="1" ht="24.6" customHeight="1">
      <c r="A10" s="7">
        <v>8</v>
      </c>
      <c r="B10" s="19" t="s">
        <v>49</v>
      </c>
      <c r="C10" s="15" t="s">
        <v>205</v>
      </c>
      <c r="D10" s="16">
        <v>6629.71</v>
      </c>
      <c r="E10" s="16" t="s">
        <v>13</v>
      </c>
      <c r="F10" s="17" t="s">
        <v>13</v>
      </c>
      <c r="G10" s="18">
        <v>1244</v>
      </c>
      <c r="H10" s="18">
        <v>84</v>
      </c>
      <c r="I10" s="19">
        <f t="shared" si="0"/>
        <v>14.80952380952381</v>
      </c>
      <c r="J10" s="18">
        <v>15</v>
      </c>
      <c r="K10" s="19">
        <v>1</v>
      </c>
      <c r="L10" s="16">
        <v>7181.71</v>
      </c>
      <c r="M10" s="18">
        <v>1428</v>
      </c>
      <c r="N10" s="20">
        <v>46108</v>
      </c>
      <c r="O10" s="40" t="s">
        <v>94</v>
      </c>
      <c r="P10" s="51"/>
    </row>
    <row r="11" spans="1:16" s="21" customFormat="1" ht="24.9" customHeight="1">
      <c r="A11" s="14">
        <v>9</v>
      </c>
      <c r="B11" s="19" t="s">
        <v>49</v>
      </c>
      <c r="C11" s="15" t="s">
        <v>204</v>
      </c>
      <c r="D11" s="16">
        <v>5376.01</v>
      </c>
      <c r="E11" s="16" t="s">
        <v>13</v>
      </c>
      <c r="F11" s="17" t="s">
        <v>13</v>
      </c>
      <c r="G11" s="18">
        <v>715</v>
      </c>
      <c r="H11" s="18">
        <v>67</v>
      </c>
      <c r="I11" s="19">
        <f t="shared" si="0"/>
        <v>10.671641791044776</v>
      </c>
      <c r="J11" s="18">
        <v>11</v>
      </c>
      <c r="K11" s="19">
        <v>1</v>
      </c>
      <c r="L11" s="16">
        <v>5927.01</v>
      </c>
      <c r="M11" s="18">
        <v>797</v>
      </c>
      <c r="N11" s="20">
        <v>46108</v>
      </c>
      <c r="O11" s="40" t="s">
        <v>55</v>
      </c>
      <c r="P11" s="51"/>
    </row>
    <row r="12" spans="1:16" s="21" customFormat="1" ht="24.6" customHeight="1">
      <c r="A12" s="7">
        <v>10</v>
      </c>
      <c r="B12" s="19">
        <v>7</v>
      </c>
      <c r="C12" s="15" t="s">
        <v>131</v>
      </c>
      <c r="D12" s="16">
        <v>5121.99</v>
      </c>
      <c r="E12" s="16">
        <v>9755.43</v>
      </c>
      <c r="F12" s="17">
        <f>(D12-E12)/E12</f>
        <v>-0.47496009914478404</v>
      </c>
      <c r="G12" s="18">
        <v>648</v>
      </c>
      <c r="H12" s="17" t="s">
        <v>13</v>
      </c>
      <c r="I12" s="17" t="s">
        <v>13</v>
      </c>
      <c r="J12" s="18">
        <v>6</v>
      </c>
      <c r="K12" s="19">
        <v>6</v>
      </c>
      <c r="L12" s="16">
        <v>320732.23999999993</v>
      </c>
      <c r="M12" s="18">
        <v>43000</v>
      </c>
      <c r="N12" s="20">
        <v>46073</v>
      </c>
      <c r="O12" s="40" t="s">
        <v>147</v>
      </c>
      <c r="P12" s="51"/>
    </row>
    <row r="13" spans="1:16" s="21" customFormat="1" ht="24.9" customHeight="1">
      <c r="A13" s="14">
        <v>11</v>
      </c>
      <c r="B13" s="19">
        <v>9</v>
      </c>
      <c r="C13" s="15" t="s">
        <v>175</v>
      </c>
      <c r="D13" s="16">
        <v>4543.68</v>
      </c>
      <c r="E13" s="16">
        <v>7465.1</v>
      </c>
      <c r="F13" s="17">
        <f>(D13-E13)/E13</f>
        <v>-0.39134371944113272</v>
      </c>
      <c r="G13" s="18">
        <v>797</v>
      </c>
      <c r="H13" s="18">
        <v>60</v>
      </c>
      <c r="I13" s="19">
        <f>G13/H13</f>
        <v>13.283333333333333</v>
      </c>
      <c r="J13" s="18">
        <v>16</v>
      </c>
      <c r="K13" s="19">
        <v>2</v>
      </c>
      <c r="L13" s="16">
        <v>15044</v>
      </c>
      <c r="M13" s="18">
        <v>2730</v>
      </c>
      <c r="N13" s="20">
        <v>46101</v>
      </c>
      <c r="O13" s="40" t="s">
        <v>42</v>
      </c>
      <c r="P13" s="51"/>
    </row>
    <row r="14" spans="1:16" s="21" customFormat="1" ht="24.9" customHeight="1">
      <c r="A14" s="7">
        <v>12</v>
      </c>
      <c r="B14" s="19">
        <v>8</v>
      </c>
      <c r="C14" s="15" t="s">
        <v>181</v>
      </c>
      <c r="D14" s="16">
        <v>4249</v>
      </c>
      <c r="E14" s="16">
        <v>8162</v>
      </c>
      <c r="F14" s="17">
        <f>(D14-E14)/E14</f>
        <v>-0.47941680960548883</v>
      </c>
      <c r="G14" s="18">
        <v>881</v>
      </c>
      <c r="H14" s="18" t="s">
        <v>13</v>
      </c>
      <c r="I14" s="19" t="s">
        <v>13</v>
      </c>
      <c r="J14" s="18">
        <v>11</v>
      </c>
      <c r="K14" s="19">
        <v>2</v>
      </c>
      <c r="L14" s="16">
        <v>14270</v>
      </c>
      <c r="M14" s="18">
        <v>2703</v>
      </c>
      <c r="N14" s="20">
        <v>46101</v>
      </c>
      <c r="O14" s="40" t="s">
        <v>44</v>
      </c>
      <c r="P14" s="51"/>
    </row>
    <row r="15" spans="1:16" s="21" customFormat="1" ht="24.9" customHeight="1">
      <c r="A15" s="14">
        <v>13</v>
      </c>
      <c r="B15" s="19" t="s">
        <v>13</v>
      </c>
      <c r="C15" s="15" t="s">
        <v>192</v>
      </c>
      <c r="D15" s="16">
        <v>3666.33</v>
      </c>
      <c r="E15" s="16" t="s">
        <v>13</v>
      </c>
      <c r="F15" s="17" t="s">
        <v>13</v>
      </c>
      <c r="G15" s="18">
        <v>510</v>
      </c>
      <c r="H15" s="18">
        <v>37</v>
      </c>
      <c r="I15" s="19">
        <f t="shared" ref="I15:I43" si="1">G15/H15</f>
        <v>13.783783783783784</v>
      </c>
      <c r="J15" s="18">
        <v>15</v>
      </c>
      <c r="K15" s="19">
        <v>2</v>
      </c>
      <c r="L15" s="16">
        <v>18154.14</v>
      </c>
      <c r="M15" s="18">
        <v>2350</v>
      </c>
      <c r="N15" s="20">
        <v>46104</v>
      </c>
      <c r="O15" s="40" t="s">
        <v>47</v>
      </c>
      <c r="P15" s="51"/>
    </row>
    <row r="16" spans="1:16" s="21" customFormat="1" ht="24.6" customHeight="1">
      <c r="A16" s="7">
        <v>14</v>
      </c>
      <c r="B16" s="19" t="s">
        <v>13</v>
      </c>
      <c r="C16" s="15" t="s">
        <v>193</v>
      </c>
      <c r="D16" s="16">
        <v>2661.32</v>
      </c>
      <c r="E16" s="16" t="s">
        <v>13</v>
      </c>
      <c r="F16" s="17" t="s">
        <v>13</v>
      </c>
      <c r="G16" s="18">
        <v>323</v>
      </c>
      <c r="H16" s="18">
        <v>19</v>
      </c>
      <c r="I16" s="19">
        <f t="shared" si="1"/>
        <v>17</v>
      </c>
      <c r="J16" s="18">
        <v>8</v>
      </c>
      <c r="K16" s="19">
        <v>2</v>
      </c>
      <c r="L16" s="16">
        <v>5388.06</v>
      </c>
      <c r="M16" s="18">
        <v>683</v>
      </c>
      <c r="N16" s="20">
        <v>46104</v>
      </c>
      <c r="O16" s="40" t="s">
        <v>47</v>
      </c>
      <c r="P16" s="51"/>
    </row>
    <row r="17" spans="1:16" s="21" customFormat="1" ht="24.9" customHeight="1">
      <c r="A17" s="14">
        <v>15</v>
      </c>
      <c r="B17" s="19">
        <v>10</v>
      </c>
      <c r="C17" s="15" t="s">
        <v>123</v>
      </c>
      <c r="D17" s="16">
        <v>2041.71</v>
      </c>
      <c r="E17" s="16">
        <v>4641.9799999999996</v>
      </c>
      <c r="F17" s="17">
        <f>(D17-E17)/E17</f>
        <v>-0.56016398174916737</v>
      </c>
      <c r="G17" s="18">
        <v>262</v>
      </c>
      <c r="H17" s="18">
        <v>9</v>
      </c>
      <c r="I17" s="19">
        <f t="shared" si="1"/>
        <v>29.111111111111111</v>
      </c>
      <c r="J17" s="18">
        <v>3</v>
      </c>
      <c r="K17" s="19">
        <v>7</v>
      </c>
      <c r="L17" s="16">
        <v>515329.33</v>
      </c>
      <c r="M17" s="18">
        <v>60804</v>
      </c>
      <c r="N17" s="20">
        <v>46066</v>
      </c>
      <c r="O17" s="40" t="s">
        <v>55</v>
      </c>
      <c r="P17" s="51"/>
    </row>
    <row r="18" spans="1:16" s="21" customFormat="1" ht="24.9" customHeight="1">
      <c r="A18" s="7">
        <v>16</v>
      </c>
      <c r="B18" s="19">
        <v>11</v>
      </c>
      <c r="C18" s="15" t="s">
        <v>163</v>
      </c>
      <c r="D18" s="16">
        <v>1968.73</v>
      </c>
      <c r="E18" s="16">
        <v>4223.13</v>
      </c>
      <c r="F18" s="17">
        <f>(D18-E18)/E18</f>
        <v>-0.53382207036013574</v>
      </c>
      <c r="G18" s="18">
        <v>252</v>
      </c>
      <c r="H18" s="18">
        <v>8</v>
      </c>
      <c r="I18" s="19">
        <f t="shared" si="1"/>
        <v>31.5</v>
      </c>
      <c r="J18" s="18">
        <v>3</v>
      </c>
      <c r="K18" s="19">
        <v>5</v>
      </c>
      <c r="L18" s="16">
        <v>117915.34</v>
      </c>
      <c r="M18" s="18">
        <v>14813</v>
      </c>
      <c r="N18" s="20">
        <v>46080</v>
      </c>
      <c r="O18" s="40" t="s">
        <v>38</v>
      </c>
      <c r="P18" s="51"/>
    </row>
    <row r="19" spans="1:16" s="21" customFormat="1" ht="24.6" customHeight="1">
      <c r="A19" s="14">
        <v>17</v>
      </c>
      <c r="B19" s="12" t="s">
        <v>13</v>
      </c>
      <c r="C19" s="15" t="s">
        <v>194</v>
      </c>
      <c r="D19" s="16">
        <v>1533.55</v>
      </c>
      <c r="E19" s="16" t="s">
        <v>13</v>
      </c>
      <c r="F19" s="17" t="s">
        <v>13</v>
      </c>
      <c r="G19" s="18">
        <v>187</v>
      </c>
      <c r="H19" s="18">
        <v>14</v>
      </c>
      <c r="I19" s="19">
        <f t="shared" si="1"/>
        <v>13.357142857142858</v>
      </c>
      <c r="J19" s="18">
        <v>7</v>
      </c>
      <c r="K19" s="19">
        <v>2</v>
      </c>
      <c r="L19" s="16">
        <v>3197.69</v>
      </c>
      <c r="M19" s="18">
        <v>443</v>
      </c>
      <c r="N19" s="20">
        <v>46104</v>
      </c>
      <c r="O19" s="40" t="s">
        <v>47</v>
      </c>
      <c r="P19" s="51"/>
    </row>
    <row r="20" spans="1:16" s="21" customFormat="1" ht="24.9" customHeight="1">
      <c r="A20" s="7">
        <v>18</v>
      </c>
      <c r="B20" s="12" t="s">
        <v>13</v>
      </c>
      <c r="C20" s="15" t="s">
        <v>195</v>
      </c>
      <c r="D20" s="16">
        <v>862.23</v>
      </c>
      <c r="E20" s="16" t="s">
        <v>13</v>
      </c>
      <c r="F20" s="17" t="s">
        <v>13</v>
      </c>
      <c r="G20" s="18">
        <v>129</v>
      </c>
      <c r="H20" s="18">
        <v>14</v>
      </c>
      <c r="I20" s="19">
        <f t="shared" si="1"/>
        <v>9.2142857142857135</v>
      </c>
      <c r="J20" s="18">
        <v>7</v>
      </c>
      <c r="K20" s="19">
        <v>2</v>
      </c>
      <c r="L20" s="16">
        <v>2322.67</v>
      </c>
      <c r="M20" s="18">
        <v>350</v>
      </c>
      <c r="N20" s="20">
        <v>46104</v>
      </c>
      <c r="O20" s="40" t="s">
        <v>47</v>
      </c>
      <c r="P20" s="51"/>
    </row>
    <row r="21" spans="1:16" s="21" customFormat="1" ht="24.75" customHeight="1">
      <c r="A21" s="14">
        <v>19</v>
      </c>
      <c r="B21" s="19" t="s">
        <v>13</v>
      </c>
      <c r="C21" s="15" t="s">
        <v>197</v>
      </c>
      <c r="D21" s="16">
        <v>785.94</v>
      </c>
      <c r="E21" s="16" t="s">
        <v>13</v>
      </c>
      <c r="F21" s="17" t="s">
        <v>13</v>
      </c>
      <c r="G21" s="18">
        <v>106</v>
      </c>
      <c r="H21" s="18">
        <v>11</v>
      </c>
      <c r="I21" s="19">
        <f t="shared" si="1"/>
        <v>9.6363636363636367</v>
      </c>
      <c r="J21" s="18">
        <v>7</v>
      </c>
      <c r="K21" s="19">
        <v>2</v>
      </c>
      <c r="L21" s="16">
        <v>2175.34</v>
      </c>
      <c r="M21" s="18">
        <v>301</v>
      </c>
      <c r="N21" s="20">
        <v>46104</v>
      </c>
      <c r="O21" s="40" t="s">
        <v>47</v>
      </c>
      <c r="P21" s="51"/>
    </row>
    <row r="22" spans="1:16" s="44" customFormat="1" ht="24.75" customHeight="1">
      <c r="A22" s="7">
        <v>20</v>
      </c>
      <c r="B22" s="12" t="s">
        <v>13</v>
      </c>
      <c r="C22" s="15" t="s">
        <v>196</v>
      </c>
      <c r="D22" s="16">
        <v>511.79</v>
      </c>
      <c r="E22" s="16" t="s">
        <v>13</v>
      </c>
      <c r="F22" s="17" t="s">
        <v>13</v>
      </c>
      <c r="G22" s="18">
        <v>70</v>
      </c>
      <c r="H22" s="18">
        <v>3</v>
      </c>
      <c r="I22" s="19">
        <f t="shared" si="1"/>
        <v>23.333333333333332</v>
      </c>
      <c r="J22" s="18">
        <v>3</v>
      </c>
      <c r="K22" s="19">
        <v>2</v>
      </c>
      <c r="L22" s="16">
        <v>2230.38</v>
      </c>
      <c r="M22" s="18">
        <v>332</v>
      </c>
      <c r="N22" s="20">
        <v>46104</v>
      </c>
      <c r="O22" s="40" t="s">
        <v>47</v>
      </c>
      <c r="P22" s="51"/>
    </row>
    <row r="23" spans="1:16" s="44" customFormat="1" ht="24.9" customHeight="1">
      <c r="A23" s="14">
        <v>21</v>
      </c>
      <c r="B23" s="19">
        <v>14</v>
      </c>
      <c r="C23" s="15" t="s">
        <v>54</v>
      </c>
      <c r="D23" s="16">
        <v>432</v>
      </c>
      <c r="E23" s="16">
        <v>633</v>
      </c>
      <c r="F23" s="17">
        <f>(D23-E23)/E23</f>
        <v>-0.31753554502369669</v>
      </c>
      <c r="G23" s="18">
        <v>51</v>
      </c>
      <c r="H23" s="18">
        <v>3</v>
      </c>
      <c r="I23" s="19">
        <f t="shared" si="1"/>
        <v>17</v>
      </c>
      <c r="J23" s="18">
        <v>1</v>
      </c>
      <c r="K23" s="19" t="s">
        <v>13</v>
      </c>
      <c r="L23" s="16">
        <v>316262.53999999998</v>
      </c>
      <c r="M23" s="18">
        <v>40967</v>
      </c>
      <c r="N23" s="20">
        <v>45926</v>
      </c>
      <c r="O23" s="40" t="s">
        <v>55</v>
      </c>
      <c r="P23" s="51"/>
    </row>
    <row r="24" spans="1:16" ht="24.6" customHeight="1">
      <c r="A24" s="7">
        <v>22</v>
      </c>
      <c r="B24" s="19">
        <v>17</v>
      </c>
      <c r="C24" s="15" t="s">
        <v>79</v>
      </c>
      <c r="D24" s="16">
        <v>427.17</v>
      </c>
      <c r="E24" s="16">
        <v>555.32000000000005</v>
      </c>
      <c r="F24" s="17">
        <f>(D24-E24)/E24</f>
        <v>-0.23076784556652025</v>
      </c>
      <c r="G24" s="18">
        <v>88</v>
      </c>
      <c r="H24" s="18">
        <v>4</v>
      </c>
      <c r="I24" s="19">
        <f t="shared" si="1"/>
        <v>22</v>
      </c>
      <c r="J24" s="18">
        <v>2</v>
      </c>
      <c r="K24" s="19">
        <v>11</v>
      </c>
      <c r="L24" s="16">
        <v>298391.96999999997</v>
      </c>
      <c r="M24" s="18">
        <v>53240</v>
      </c>
      <c r="N24" s="20">
        <v>46038</v>
      </c>
      <c r="O24" s="40" t="s">
        <v>42</v>
      </c>
      <c r="P24" s="51"/>
    </row>
    <row r="25" spans="1:16" s="44" customFormat="1" ht="24.9" customHeight="1">
      <c r="A25" s="14">
        <v>23</v>
      </c>
      <c r="B25" s="16" t="s">
        <v>13</v>
      </c>
      <c r="C25" s="15" t="s">
        <v>78</v>
      </c>
      <c r="D25" s="16">
        <v>414</v>
      </c>
      <c r="E25" s="16" t="s">
        <v>13</v>
      </c>
      <c r="F25" s="17" t="s">
        <v>13</v>
      </c>
      <c r="G25" s="18">
        <v>71</v>
      </c>
      <c r="H25" s="18">
        <v>1</v>
      </c>
      <c r="I25" s="19">
        <f t="shared" si="1"/>
        <v>71</v>
      </c>
      <c r="J25" s="18">
        <v>1</v>
      </c>
      <c r="K25" s="19">
        <v>10</v>
      </c>
      <c r="L25" s="16">
        <v>150893.6</v>
      </c>
      <c r="M25" s="18">
        <v>20896</v>
      </c>
      <c r="N25" s="20">
        <v>46038</v>
      </c>
      <c r="O25" s="40" t="s">
        <v>47</v>
      </c>
      <c r="P25" s="51"/>
    </row>
    <row r="26" spans="1:16" ht="24.9" customHeight="1">
      <c r="A26" s="7">
        <v>24</v>
      </c>
      <c r="B26" s="19">
        <v>20</v>
      </c>
      <c r="C26" s="15" t="s">
        <v>161</v>
      </c>
      <c r="D26" s="16">
        <v>371.5</v>
      </c>
      <c r="E26" s="16">
        <v>68</v>
      </c>
      <c r="F26" s="17">
        <f>(D26-E26)/E26</f>
        <v>4.4632352941176467</v>
      </c>
      <c r="G26" s="18">
        <v>57</v>
      </c>
      <c r="H26" s="18">
        <v>1</v>
      </c>
      <c r="I26" s="19">
        <f t="shared" si="1"/>
        <v>57</v>
      </c>
      <c r="J26" s="18">
        <v>1</v>
      </c>
      <c r="K26" s="19">
        <v>5</v>
      </c>
      <c r="L26" s="16">
        <v>21408.54</v>
      </c>
      <c r="M26" s="18">
        <v>3064</v>
      </c>
      <c r="N26" s="20">
        <v>46080</v>
      </c>
      <c r="O26" s="40" t="s">
        <v>42</v>
      </c>
      <c r="P26" s="51"/>
    </row>
    <row r="27" spans="1:16" ht="24.6" customHeight="1">
      <c r="A27" s="14">
        <v>25</v>
      </c>
      <c r="B27" s="19" t="s">
        <v>13</v>
      </c>
      <c r="C27" s="15" t="s">
        <v>234</v>
      </c>
      <c r="D27" s="16">
        <v>270.27</v>
      </c>
      <c r="E27" s="16" t="s">
        <v>13</v>
      </c>
      <c r="F27" s="17" t="s">
        <v>13</v>
      </c>
      <c r="G27" s="18">
        <v>38</v>
      </c>
      <c r="H27" s="18">
        <v>4</v>
      </c>
      <c r="I27" s="19">
        <f t="shared" si="1"/>
        <v>9.5</v>
      </c>
      <c r="J27" s="18">
        <v>3</v>
      </c>
      <c r="K27" s="19">
        <v>2</v>
      </c>
      <c r="L27" s="16">
        <v>896.44</v>
      </c>
      <c r="M27" s="18">
        <v>121</v>
      </c>
      <c r="N27" s="20">
        <v>46104</v>
      </c>
      <c r="O27" s="40" t="s">
        <v>47</v>
      </c>
      <c r="P27" s="51"/>
    </row>
    <row r="28" spans="1:16" s="44" customFormat="1" ht="24.6" customHeight="1">
      <c r="A28" s="7">
        <v>26</v>
      </c>
      <c r="B28" s="19">
        <v>13</v>
      </c>
      <c r="C28" s="15" t="s">
        <v>164</v>
      </c>
      <c r="D28" s="16">
        <v>231.49</v>
      </c>
      <c r="E28" s="16">
        <v>942.34</v>
      </c>
      <c r="F28" s="17">
        <f>(D28-E28)/E28</f>
        <v>-0.75434556529490415</v>
      </c>
      <c r="G28" s="18">
        <v>47</v>
      </c>
      <c r="H28" s="18">
        <v>1</v>
      </c>
      <c r="I28" s="19">
        <f t="shared" si="1"/>
        <v>47</v>
      </c>
      <c r="J28" s="18">
        <v>1</v>
      </c>
      <c r="K28" s="19">
        <v>5</v>
      </c>
      <c r="L28" s="16">
        <v>29196.34</v>
      </c>
      <c r="M28" s="18">
        <v>4952</v>
      </c>
      <c r="N28" s="20">
        <v>46080</v>
      </c>
      <c r="O28" s="40" t="s">
        <v>166</v>
      </c>
      <c r="P28" s="51"/>
    </row>
    <row r="29" spans="1:16" s="44" customFormat="1" ht="24.6" customHeight="1">
      <c r="A29" s="14">
        <v>27</v>
      </c>
      <c r="B29" s="19" t="s">
        <v>13</v>
      </c>
      <c r="C29" s="15" t="s">
        <v>201</v>
      </c>
      <c r="D29" s="16">
        <v>211.8</v>
      </c>
      <c r="E29" s="16" t="s">
        <v>13</v>
      </c>
      <c r="F29" s="17" t="s">
        <v>13</v>
      </c>
      <c r="G29" s="18">
        <v>54</v>
      </c>
      <c r="H29" s="18">
        <v>1</v>
      </c>
      <c r="I29" s="19">
        <f t="shared" si="1"/>
        <v>54</v>
      </c>
      <c r="J29" s="18">
        <v>1</v>
      </c>
      <c r="K29" s="19" t="s">
        <v>13</v>
      </c>
      <c r="L29" s="16">
        <v>209128.21</v>
      </c>
      <c r="M29" s="18">
        <v>32089</v>
      </c>
      <c r="N29" s="20">
        <v>45740</v>
      </c>
      <c r="O29" s="40" t="s">
        <v>47</v>
      </c>
      <c r="P29" s="51"/>
    </row>
    <row r="30" spans="1:16" s="44" customFormat="1" ht="24.6" customHeight="1">
      <c r="A30" s="7">
        <v>28</v>
      </c>
      <c r="B30" s="19" t="s">
        <v>13</v>
      </c>
      <c r="C30" s="15" t="s">
        <v>208</v>
      </c>
      <c r="D30" s="16">
        <v>211</v>
      </c>
      <c r="E30" s="16" t="s">
        <v>13</v>
      </c>
      <c r="F30" s="17" t="s">
        <v>13</v>
      </c>
      <c r="G30" s="18">
        <v>43</v>
      </c>
      <c r="H30" s="18">
        <v>3</v>
      </c>
      <c r="I30" s="19">
        <f t="shared" si="1"/>
        <v>14.333333333333334</v>
      </c>
      <c r="J30" s="18">
        <v>2</v>
      </c>
      <c r="K30" s="19" t="s">
        <v>13</v>
      </c>
      <c r="L30" s="16">
        <v>1489.6</v>
      </c>
      <c r="M30" s="18">
        <v>265</v>
      </c>
      <c r="N30" s="20">
        <v>46080</v>
      </c>
      <c r="O30" s="40" t="s">
        <v>43</v>
      </c>
      <c r="P30" s="51"/>
    </row>
    <row r="31" spans="1:16" s="44" customFormat="1" ht="24.6" customHeight="1">
      <c r="A31" s="14">
        <v>29</v>
      </c>
      <c r="B31" s="19" t="s">
        <v>49</v>
      </c>
      <c r="C31" s="15" t="s">
        <v>209</v>
      </c>
      <c r="D31" s="16">
        <v>184.5</v>
      </c>
      <c r="E31" s="16" t="s">
        <v>13</v>
      </c>
      <c r="F31" s="17" t="s">
        <v>13</v>
      </c>
      <c r="G31" s="18">
        <v>31</v>
      </c>
      <c r="H31" s="18">
        <v>4</v>
      </c>
      <c r="I31" s="19">
        <f t="shared" si="1"/>
        <v>7.75</v>
      </c>
      <c r="J31" s="18">
        <v>3</v>
      </c>
      <c r="K31" s="19">
        <v>1</v>
      </c>
      <c r="L31" s="16">
        <v>184.5</v>
      </c>
      <c r="M31" s="18">
        <v>31</v>
      </c>
      <c r="N31" s="20">
        <v>46108</v>
      </c>
      <c r="O31" s="40" t="s">
        <v>210</v>
      </c>
      <c r="P31" s="51"/>
    </row>
    <row r="32" spans="1:16" ht="24.6" customHeight="1">
      <c r="A32" s="7">
        <v>30</v>
      </c>
      <c r="B32" s="19">
        <v>16</v>
      </c>
      <c r="C32" s="15" t="s">
        <v>89</v>
      </c>
      <c r="D32" s="16">
        <v>183.27</v>
      </c>
      <c r="E32" s="16">
        <v>557</v>
      </c>
      <c r="F32" s="17">
        <f>(D32-E32)/E32</f>
        <v>-0.67096947935368045</v>
      </c>
      <c r="G32" s="18">
        <v>27</v>
      </c>
      <c r="H32" s="18">
        <v>3</v>
      </c>
      <c r="I32" s="19">
        <f t="shared" si="1"/>
        <v>9</v>
      </c>
      <c r="J32" s="18">
        <v>1</v>
      </c>
      <c r="K32" s="19">
        <v>10</v>
      </c>
      <c r="L32" s="16">
        <v>704640.71</v>
      </c>
      <c r="M32" s="18">
        <v>86818</v>
      </c>
      <c r="N32" s="20">
        <v>46045</v>
      </c>
      <c r="O32" s="40" t="s">
        <v>42</v>
      </c>
      <c r="P32" s="51"/>
    </row>
    <row r="33" spans="1:16" s="44" customFormat="1" ht="24.6" customHeight="1">
      <c r="A33" s="14">
        <v>31</v>
      </c>
      <c r="B33" s="12" t="s">
        <v>13</v>
      </c>
      <c r="C33" s="15" t="s">
        <v>199</v>
      </c>
      <c r="D33" s="16">
        <v>173.25</v>
      </c>
      <c r="E33" s="16" t="s">
        <v>13</v>
      </c>
      <c r="F33" s="17" t="s">
        <v>13</v>
      </c>
      <c r="G33" s="18">
        <v>30</v>
      </c>
      <c r="H33" s="18">
        <v>3</v>
      </c>
      <c r="I33" s="19">
        <f t="shared" si="1"/>
        <v>10</v>
      </c>
      <c r="J33" s="18">
        <v>2</v>
      </c>
      <c r="K33" s="19">
        <v>2</v>
      </c>
      <c r="L33" s="16">
        <v>396.05</v>
      </c>
      <c r="M33" s="18">
        <v>68</v>
      </c>
      <c r="N33" s="20">
        <v>46104</v>
      </c>
      <c r="O33" s="40" t="s">
        <v>47</v>
      </c>
      <c r="P33" s="51"/>
    </row>
    <row r="34" spans="1:16" s="44" customFormat="1" ht="24.6" customHeight="1">
      <c r="A34" s="7">
        <v>32</v>
      </c>
      <c r="B34" s="19" t="s">
        <v>13</v>
      </c>
      <c r="C34" s="15" t="s">
        <v>202</v>
      </c>
      <c r="D34" s="16">
        <v>147.1</v>
      </c>
      <c r="E34" s="16" t="s">
        <v>13</v>
      </c>
      <c r="F34" s="17" t="s">
        <v>13</v>
      </c>
      <c r="G34" s="18">
        <v>19</v>
      </c>
      <c r="H34" s="18">
        <v>1</v>
      </c>
      <c r="I34" s="19">
        <f t="shared" si="1"/>
        <v>19</v>
      </c>
      <c r="J34" s="18">
        <v>1</v>
      </c>
      <c r="K34" s="19" t="s">
        <v>13</v>
      </c>
      <c r="L34" s="16">
        <v>40982.71</v>
      </c>
      <c r="M34" s="18">
        <v>6803</v>
      </c>
      <c r="N34" s="20">
        <v>44655</v>
      </c>
      <c r="O34" s="40" t="s">
        <v>47</v>
      </c>
      <c r="P34" s="51"/>
    </row>
    <row r="35" spans="1:16" s="44" customFormat="1" ht="24.6" customHeight="1">
      <c r="A35" s="14">
        <v>33</v>
      </c>
      <c r="B35" s="12" t="s">
        <v>13</v>
      </c>
      <c r="C35" s="15" t="s">
        <v>198</v>
      </c>
      <c r="D35" s="16">
        <v>120.25</v>
      </c>
      <c r="E35" s="16" t="s">
        <v>13</v>
      </c>
      <c r="F35" s="17" t="s">
        <v>13</v>
      </c>
      <c r="G35" s="18">
        <v>15</v>
      </c>
      <c r="H35" s="18">
        <v>1</v>
      </c>
      <c r="I35" s="19">
        <f t="shared" si="1"/>
        <v>15</v>
      </c>
      <c r="J35" s="18">
        <v>1</v>
      </c>
      <c r="K35" s="19">
        <v>2</v>
      </c>
      <c r="L35" s="16">
        <v>840.55</v>
      </c>
      <c r="M35" s="18">
        <v>125</v>
      </c>
      <c r="N35" s="20">
        <v>46104</v>
      </c>
      <c r="O35" s="40" t="s">
        <v>47</v>
      </c>
      <c r="P35" s="51"/>
    </row>
    <row r="36" spans="1:16" s="44" customFormat="1" ht="24.6" customHeight="1">
      <c r="A36" s="7">
        <v>34</v>
      </c>
      <c r="B36" s="19" t="s">
        <v>13</v>
      </c>
      <c r="C36" s="15" t="s">
        <v>165</v>
      </c>
      <c r="D36" s="16">
        <v>111</v>
      </c>
      <c r="E36" s="16" t="s">
        <v>13</v>
      </c>
      <c r="F36" s="17" t="s">
        <v>13</v>
      </c>
      <c r="G36" s="18">
        <v>20</v>
      </c>
      <c r="H36" s="18">
        <v>1</v>
      </c>
      <c r="I36" s="19">
        <f t="shared" si="1"/>
        <v>20</v>
      </c>
      <c r="J36" s="18">
        <v>1</v>
      </c>
      <c r="K36" s="19" t="s">
        <v>13</v>
      </c>
      <c r="L36" s="16">
        <v>2841.13</v>
      </c>
      <c r="M36" s="18">
        <v>459</v>
      </c>
      <c r="N36" s="20">
        <v>46080</v>
      </c>
      <c r="O36" s="40" t="s">
        <v>207</v>
      </c>
      <c r="P36" s="51"/>
    </row>
    <row r="37" spans="1:16" s="44" customFormat="1" ht="24.6" customHeight="1">
      <c r="A37" s="14">
        <v>35</v>
      </c>
      <c r="B37" s="16" t="s">
        <v>13</v>
      </c>
      <c r="C37" s="15" t="s">
        <v>158</v>
      </c>
      <c r="D37" s="16">
        <v>99.5</v>
      </c>
      <c r="E37" s="16" t="s">
        <v>13</v>
      </c>
      <c r="F37" s="17" t="s">
        <v>13</v>
      </c>
      <c r="G37" s="18">
        <v>17</v>
      </c>
      <c r="H37" s="18">
        <v>1</v>
      </c>
      <c r="I37" s="19">
        <f t="shared" si="1"/>
        <v>17</v>
      </c>
      <c r="J37" s="18">
        <v>1</v>
      </c>
      <c r="K37" s="19" t="s">
        <v>13</v>
      </c>
      <c r="L37" s="16">
        <v>2689.5</v>
      </c>
      <c r="M37" s="18">
        <v>464</v>
      </c>
      <c r="N37" s="20">
        <v>46077</v>
      </c>
      <c r="O37" s="40" t="s">
        <v>159</v>
      </c>
      <c r="P37" s="51"/>
    </row>
    <row r="38" spans="1:16" ht="24.6" customHeight="1">
      <c r="A38" s="7">
        <v>36</v>
      </c>
      <c r="B38" s="19" t="s">
        <v>13</v>
      </c>
      <c r="C38" s="15" t="s">
        <v>35</v>
      </c>
      <c r="D38" s="16">
        <v>76.5</v>
      </c>
      <c r="E38" s="16" t="s">
        <v>13</v>
      </c>
      <c r="F38" s="17" t="s">
        <v>13</v>
      </c>
      <c r="G38" s="18">
        <v>17</v>
      </c>
      <c r="H38" s="18">
        <v>1</v>
      </c>
      <c r="I38" s="19">
        <f t="shared" si="1"/>
        <v>17</v>
      </c>
      <c r="J38" s="18">
        <v>1</v>
      </c>
      <c r="K38" s="19" t="s">
        <v>13</v>
      </c>
      <c r="L38" s="16">
        <v>377503.69</v>
      </c>
      <c r="M38" s="18">
        <v>63659</v>
      </c>
      <c r="N38" s="20">
        <v>45744</v>
      </c>
      <c r="O38" s="40" t="s">
        <v>47</v>
      </c>
      <c r="P38" s="51"/>
    </row>
    <row r="39" spans="1:16" s="44" customFormat="1" ht="24.6" customHeight="1">
      <c r="A39" s="14">
        <v>37</v>
      </c>
      <c r="B39" s="19" t="s">
        <v>13</v>
      </c>
      <c r="C39" s="15" t="s">
        <v>142</v>
      </c>
      <c r="D39" s="16">
        <v>45</v>
      </c>
      <c r="E39" s="16" t="s">
        <v>13</v>
      </c>
      <c r="F39" s="17" t="s">
        <v>13</v>
      </c>
      <c r="G39" s="18">
        <v>9</v>
      </c>
      <c r="H39" s="18">
        <v>1</v>
      </c>
      <c r="I39" s="19">
        <f t="shared" si="1"/>
        <v>9</v>
      </c>
      <c r="J39" s="18">
        <v>1</v>
      </c>
      <c r="K39" s="19" t="s">
        <v>13</v>
      </c>
      <c r="L39" s="16">
        <v>51315.8</v>
      </c>
      <c r="M39" s="18">
        <v>10068</v>
      </c>
      <c r="N39" s="20">
        <v>45310</v>
      </c>
      <c r="O39" s="40" t="s">
        <v>42</v>
      </c>
      <c r="P39" s="51"/>
    </row>
    <row r="40" spans="1:16" s="44" customFormat="1" ht="24.6" customHeight="1">
      <c r="A40" s="7">
        <v>38</v>
      </c>
      <c r="B40" s="12" t="s">
        <v>13</v>
      </c>
      <c r="C40" s="15" t="s">
        <v>200</v>
      </c>
      <c r="D40" s="16">
        <v>36</v>
      </c>
      <c r="E40" s="16" t="s">
        <v>13</v>
      </c>
      <c r="F40" s="17" t="s">
        <v>13</v>
      </c>
      <c r="G40" s="18">
        <v>6</v>
      </c>
      <c r="H40" s="18">
        <v>1</v>
      </c>
      <c r="I40" s="19">
        <f t="shared" si="1"/>
        <v>6</v>
      </c>
      <c r="J40" s="18">
        <v>1</v>
      </c>
      <c r="K40" s="19">
        <v>2</v>
      </c>
      <c r="L40" s="16">
        <v>270.05</v>
      </c>
      <c r="M40" s="18">
        <v>53</v>
      </c>
      <c r="N40" s="20">
        <v>46104</v>
      </c>
      <c r="O40" s="40" t="s">
        <v>47</v>
      </c>
      <c r="P40" s="51"/>
    </row>
    <row r="41" spans="1:16" s="44" customFormat="1" ht="24.6" customHeight="1">
      <c r="A41" s="14">
        <v>39</v>
      </c>
      <c r="B41" s="19" t="s">
        <v>13</v>
      </c>
      <c r="C41" s="15" t="s">
        <v>203</v>
      </c>
      <c r="D41" s="16">
        <v>35.92</v>
      </c>
      <c r="E41" s="16" t="s">
        <v>13</v>
      </c>
      <c r="F41" s="17" t="s">
        <v>13</v>
      </c>
      <c r="G41" s="18">
        <v>6</v>
      </c>
      <c r="H41" s="18">
        <v>1</v>
      </c>
      <c r="I41" s="19">
        <f t="shared" si="1"/>
        <v>6</v>
      </c>
      <c r="J41" s="18">
        <v>1</v>
      </c>
      <c r="K41" s="19">
        <v>2</v>
      </c>
      <c r="L41" s="16">
        <v>59.92</v>
      </c>
      <c r="M41" s="18">
        <v>11</v>
      </c>
      <c r="N41" s="20">
        <v>46104</v>
      </c>
      <c r="O41" s="40" t="s">
        <v>47</v>
      </c>
      <c r="P41" s="51"/>
    </row>
    <row r="42" spans="1:16" ht="24.6" customHeight="1">
      <c r="A42" s="7">
        <v>40</v>
      </c>
      <c r="B42" s="19">
        <v>24</v>
      </c>
      <c r="C42" s="15" t="s">
        <v>182</v>
      </c>
      <c r="D42" s="16">
        <v>15</v>
      </c>
      <c r="E42" s="16">
        <v>15</v>
      </c>
      <c r="F42" s="17">
        <f>(D42-E42)/E42</f>
        <v>0</v>
      </c>
      <c r="G42" s="18">
        <v>2</v>
      </c>
      <c r="H42" s="18">
        <v>1</v>
      </c>
      <c r="I42" s="19">
        <f t="shared" si="1"/>
        <v>2</v>
      </c>
      <c r="J42" s="18">
        <v>1</v>
      </c>
      <c r="K42" s="19">
        <v>2</v>
      </c>
      <c r="L42" s="16">
        <v>37.5</v>
      </c>
      <c r="M42" s="18">
        <v>5</v>
      </c>
      <c r="N42" s="20">
        <v>46101</v>
      </c>
      <c r="O42" s="40" t="s">
        <v>183</v>
      </c>
      <c r="P42" s="51"/>
    </row>
    <row r="43" spans="1:16" ht="24.6" customHeight="1">
      <c r="A43" s="14">
        <v>41</v>
      </c>
      <c r="B43" s="19" t="s">
        <v>13</v>
      </c>
      <c r="C43" s="15" t="s">
        <v>143</v>
      </c>
      <c r="D43" s="16">
        <v>8.4</v>
      </c>
      <c r="E43" s="16" t="s">
        <v>13</v>
      </c>
      <c r="F43" s="17" t="s">
        <v>13</v>
      </c>
      <c r="G43" s="18">
        <v>2</v>
      </c>
      <c r="H43" s="18">
        <v>1</v>
      </c>
      <c r="I43" s="19">
        <f t="shared" si="1"/>
        <v>2</v>
      </c>
      <c r="J43" s="18">
        <v>1</v>
      </c>
      <c r="K43" s="19" t="s">
        <v>13</v>
      </c>
      <c r="L43" s="16">
        <v>25460.45</v>
      </c>
      <c r="M43" s="18">
        <v>4617</v>
      </c>
      <c r="N43" s="20">
        <v>45716</v>
      </c>
      <c r="O43" s="40" t="s">
        <v>42</v>
      </c>
      <c r="P43" s="51"/>
    </row>
    <row r="44" spans="1:16" ht="24.75" customHeight="1">
      <c r="A44" s="25"/>
      <c r="B44" s="50" t="s">
        <v>14</v>
      </c>
      <c r="C44" s="29" t="s">
        <v>217</v>
      </c>
      <c r="D44" s="27">
        <f>SUBTOTAL(109,Table1324567891011121314[Pajamos 
(GBO)])</f>
        <v>288872.88999999996</v>
      </c>
      <c r="E44" s="27" t="s">
        <v>189</v>
      </c>
      <c r="F44" s="43">
        <f>(D44-E44)/E44</f>
        <v>0.26326858237380324</v>
      </c>
      <c r="G44" s="34">
        <f>SUBTOTAL(109,Table1324567891011121314[Žiūrovų sk. 
(ADM)])</f>
        <v>37195</v>
      </c>
      <c r="H44" s="36"/>
      <c r="I44" s="25"/>
      <c r="J44" s="36"/>
      <c r="K44" s="48"/>
      <c r="L44" s="32"/>
      <c r="M44" s="36"/>
      <c r="N44" s="38"/>
      <c r="O44" s="41"/>
      <c r="P44" s="52"/>
    </row>
    <row r="45" spans="1:16"/>
    <row r="46" spans="1:16"/>
    <row r="47" spans="1:16"/>
    <row r="48" spans="1:1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35E8C-52BB-4BB9-A6CE-49810F9BD67B}">
  <sheetPr>
    <pageSetUpPr fitToPage="1"/>
  </sheetPr>
  <dimension ref="A1:XFC148"/>
  <sheetViews>
    <sheetView zoomScale="60" zoomScaleNormal="60" workbookViewId="0">
      <selection activeCell="C27" sqref="C27"/>
    </sheetView>
  </sheetViews>
  <sheetFormatPr defaultColWidth="0" defaultRowHeight="11.4" zeroHeight="1"/>
  <cols>
    <col min="1" max="1" width="4.75" style="1" customWidth="1"/>
    <col min="2" max="2" width="4.75" style="49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6" s="4" customFormat="1" ht="40.5" customHeight="1" thickBot="1">
      <c r="A1" s="96" t="s">
        <v>179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1" customFormat="1" ht="24.6" customHeight="1">
      <c r="A3" s="14">
        <v>1</v>
      </c>
      <c r="B3" s="19" t="s">
        <v>49</v>
      </c>
      <c r="C3" s="15" t="s">
        <v>184</v>
      </c>
      <c r="D3" s="16">
        <v>87286.01</v>
      </c>
      <c r="E3" s="16" t="s">
        <v>13</v>
      </c>
      <c r="F3" s="17" t="s">
        <v>13</v>
      </c>
      <c r="G3" s="18">
        <v>9233</v>
      </c>
      <c r="H3" s="18">
        <v>122</v>
      </c>
      <c r="I3" s="19">
        <f t="shared" ref="I3:I8" si="0">G3/H3</f>
        <v>75.680327868852459</v>
      </c>
      <c r="J3" s="18">
        <v>14</v>
      </c>
      <c r="K3" s="19">
        <v>1</v>
      </c>
      <c r="L3" s="16">
        <v>96490.97</v>
      </c>
      <c r="M3" s="18">
        <v>10247</v>
      </c>
      <c r="N3" s="20">
        <v>46101</v>
      </c>
      <c r="O3" s="40" t="s">
        <v>39</v>
      </c>
      <c r="P3" s="51"/>
    </row>
    <row r="4" spans="1:16" s="21" customFormat="1" ht="24.9" customHeight="1">
      <c r="A4" s="14">
        <v>2</v>
      </c>
      <c r="B4" s="19">
        <v>1</v>
      </c>
      <c r="C4" s="15" t="s">
        <v>170</v>
      </c>
      <c r="D4" s="16">
        <v>36489.74</v>
      </c>
      <c r="E4" s="16">
        <v>47547.75</v>
      </c>
      <c r="F4" s="17">
        <f>(D4-E4)/E4</f>
        <v>-0.23256642007245351</v>
      </c>
      <c r="G4" s="18">
        <v>5967</v>
      </c>
      <c r="H4" s="18">
        <v>101</v>
      </c>
      <c r="I4" s="19">
        <f t="shared" si="0"/>
        <v>59.079207920792079</v>
      </c>
      <c r="J4" s="18">
        <v>18</v>
      </c>
      <c r="K4" s="19">
        <v>3</v>
      </c>
      <c r="L4" s="16">
        <v>206899.98</v>
      </c>
      <c r="M4" s="18">
        <v>33570</v>
      </c>
      <c r="N4" s="20">
        <v>46087</v>
      </c>
      <c r="O4" s="40" t="s">
        <v>37</v>
      </c>
      <c r="P4" s="51"/>
    </row>
    <row r="5" spans="1:16" s="21" customFormat="1" ht="24.9" customHeight="1">
      <c r="A5" s="14">
        <v>3</v>
      </c>
      <c r="B5" s="19">
        <v>2</v>
      </c>
      <c r="C5" s="15" t="s">
        <v>171</v>
      </c>
      <c r="D5" s="16">
        <v>18190</v>
      </c>
      <c r="E5" s="16">
        <v>42112</v>
      </c>
      <c r="F5" s="17">
        <f>(D5-E5)/E5</f>
        <v>-0.56805661094224924</v>
      </c>
      <c r="G5" s="18">
        <v>2252</v>
      </c>
      <c r="H5" s="19">
        <v>64</v>
      </c>
      <c r="I5" s="19">
        <f t="shared" si="0"/>
        <v>35.1875</v>
      </c>
      <c r="J5" s="17" t="s">
        <v>13</v>
      </c>
      <c r="K5" s="19">
        <v>3</v>
      </c>
      <c r="L5" s="16">
        <v>204407</v>
      </c>
      <c r="M5" s="18">
        <v>26417</v>
      </c>
      <c r="N5" s="20">
        <v>46087</v>
      </c>
      <c r="O5" s="40" t="s">
        <v>74</v>
      </c>
      <c r="P5" s="51"/>
    </row>
    <row r="6" spans="1:16" s="21" customFormat="1" ht="24.6" customHeight="1">
      <c r="A6" s="14">
        <v>4</v>
      </c>
      <c r="B6" s="19" t="s">
        <v>49</v>
      </c>
      <c r="C6" s="15" t="s">
        <v>187</v>
      </c>
      <c r="D6" s="16">
        <v>17497.29</v>
      </c>
      <c r="E6" s="16" t="s">
        <v>13</v>
      </c>
      <c r="F6" s="17" t="s">
        <v>13</v>
      </c>
      <c r="G6" s="18">
        <v>2159</v>
      </c>
      <c r="H6" s="18">
        <v>64</v>
      </c>
      <c r="I6" s="19">
        <f t="shared" si="0"/>
        <v>33.734375</v>
      </c>
      <c r="J6" s="18">
        <v>12</v>
      </c>
      <c r="K6" s="19">
        <v>1</v>
      </c>
      <c r="L6" s="16">
        <v>18096.189999999999</v>
      </c>
      <c r="M6" s="18">
        <v>2247</v>
      </c>
      <c r="N6" s="20">
        <v>46101</v>
      </c>
      <c r="O6" s="40" t="s">
        <v>37</v>
      </c>
      <c r="P6" s="51"/>
    </row>
    <row r="7" spans="1:16" s="21" customFormat="1" ht="24.6" customHeight="1">
      <c r="A7" s="14">
        <v>5</v>
      </c>
      <c r="B7" s="19">
        <v>3</v>
      </c>
      <c r="C7" s="15" t="s">
        <v>133</v>
      </c>
      <c r="D7" s="16">
        <v>15295.63</v>
      </c>
      <c r="E7" s="16">
        <v>26402.89</v>
      </c>
      <c r="F7" s="17">
        <f>(D7-E7)/E7</f>
        <v>-0.42068349336000721</v>
      </c>
      <c r="G7" s="18">
        <v>1924</v>
      </c>
      <c r="H7" s="18">
        <v>59</v>
      </c>
      <c r="I7" s="19">
        <f t="shared" si="0"/>
        <v>32.610169491525426</v>
      </c>
      <c r="J7" s="18">
        <v>16</v>
      </c>
      <c r="K7" s="19">
        <v>6</v>
      </c>
      <c r="L7" s="16">
        <v>872618.74</v>
      </c>
      <c r="M7" s="18">
        <v>108036</v>
      </c>
      <c r="N7" s="20">
        <v>46066</v>
      </c>
      <c r="O7" s="40" t="s">
        <v>134</v>
      </c>
      <c r="P7" s="51"/>
    </row>
    <row r="8" spans="1:16" s="21" customFormat="1" ht="24.6" customHeight="1">
      <c r="A8" s="14">
        <v>6</v>
      </c>
      <c r="B8" s="19">
        <v>4</v>
      </c>
      <c r="C8" s="15" t="s">
        <v>126</v>
      </c>
      <c r="D8" s="16">
        <v>14844.06</v>
      </c>
      <c r="E8" s="16">
        <v>16802.93</v>
      </c>
      <c r="F8" s="17">
        <f>(D8-E8)/E8</f>
        <v>-0.11657907281646718</v>
      </c>
      <c r="G8" s="18">
        <v>2552</v>
      </c>
      <c r="H8" s="18">
        <v>52</v>
      </c>
      <c r="I8" s="19">
        <f t="shared" si="0"/>
        <v>49.07692307692308</v>
      </c>
      <c r="J8" s="18">
        <v>10</v>
      </c>
      <c r="K8" s="19">
        <v>5</v>
      </c>
      <c r="L8" s="16">
        <v>283260.11</v>
      </c>
      <c r="M8" s="18">
        <v>46345</v>
      </c>
      <c r="N8" s="20">
        <v>46073</v>
      </c>
      <c r="O8" s="40" t="s">
        <v>39</v>
      </c>
      <c r="P8" s="51"/>
    </row>
    <row r="9" spans="1:16" s="21" customFormat="1" ht="24.6" customHeight="1">
      <c r="A9" s="14">
        <v>7</v>
      </c>
      <c r="B9" s="19">
        <v>5</v>
      </c>
      <c r="C9" s="15" t="s">
        <v>131</v>
      </c>
      <c r="D9" s="16">
        <v>9755.43</v>
      </c>
      <c r="E9" s="16">
        <v>16011.58</v>
      </c>
      <c r="F9" s="17">
        <f>(D9-E9)/E9</f>
        <v>-0.39072658663292442</v>
      </c>
      <c r="G9" s="18">
        <v>1245</v>
      </c>
      <c r="H9" s="17" t="s">
        <v>13</v>
      </c>
      <c r="I9" s="17" t="s">
        <v>13</v>
      </c>
      <c r="J9" s="18">
        <v>10</v>
      </c>
      <c r="K9" s="19">
        <v>5</v>
      </c>
      <c r="L9" s="16">
        <v>311035.12999999995</v>
      </c>
      <c r="M9" s="18">
        <v>41614</v>
      </c>
      <c r="N9" s="20">
        <v>46073</v>
      </c>
      <c r="O9" s="40" t="s">
        <v>147</v>
      </c>
      <c r="P9" s="51"/>
    </row>
    <row r="10" spans="1:16" s="21" customFormat="1" ht="24.6" customHeight="1">
      <c r="A10" s="14">
        <v>8</v>
      </c>
      <c r="B10" s="19" t="s">
        <v>49</v>
      </c>
      <c r="C10" s="15" t="s">
        <v>181</v>
      </c>
      <c r="D10" s="16">
        <v>8162</v>
      </c>
      <c r="E10" s="16" t="s">
        <v>13</v>
      </c>
      <c r="F10" s="17" t="s">
        <v>13</v>
      </c>
      <c r="G10" s="18">
        <v>1432</v>
      </c>
      <c r="H10" s="18" t="s">
        <v>13</v>
      </c>
      <c r="I10" s="19" t="s">
        <v>13</v>
      </c>
      <c r="J10" s="18">
        <v>14</v>
      </c>
      <c r="K10" s="19">
        <v>1</v>
      </c>
      <c r="L10" s="16">
        <v>8162</v>
      </c>
      <c r="M10" s="18">
        <v>1432</v>
      </c>
      <c r="N10" s="20">
        <v>46101</v>
      </c>
      <c r="O10" s="40" t="s">
        <v>44</v>
      </c>
      <c r="P10" s="51"/>
    </row>
    <row r="11" spans="1:16" s="21" customFormat="1" ht="24.9" customHeight="1">
      <c r="A11" s="14">
        <v>9</v>
      </c>
      <c r="B11" s="19" t="s">
        <v>49</v>
      </c>
      <c r="C11" s="15" t="s">
        <v>175</v>
      </c>
      <c r="D11" s="16">
        <v>7465.1</v>
      </c>
      <c r="E11" s="16" t="s">
        <v>13</v>
      </c>
      <c r="F11" s="17" t="s">
        <v>13</v>
      </c>
      <c r="G11" s="18">
        <v>1257</v>
      </c>
      <c r="H11" s="18">
        <v>64</v>
      </c>
      <c r="I11" s="19">
        <f t="shared" ref="I11:I22" si="1">G11/H11</f>
        <v>19.640625</v>
      </c>
      <c r="J11" s="18">
        <v>13</v>
      </c>
      <c r="K11" s="19">
        <v>1</v>
      </c>
      <c r="L11" s="16">
        <v>8065.5</v>
      </c>
      <c r="M11" s="18">
        <v>1356</v>
      </c>
      <c r="N11" s="20">
        <v>46101</v>
      </c>
      <c r="O11" s="40" t="s">
        <v>42</v>
      </c>
      <c r="P11" s="51"/>
    </row>
    <row r="12" spans="1:16" s="21" customFormat="1" ht="24.6" customHeight="1">
      <c r="A12" s="14">
        <v>10</v>
      </c>
      <c r="B12" s="19">
        <v>7</v>
      </c>
      <c r="C12" s="15" t="s">
        <v>123</v>
      </c>
      <c r="D12" s="16">
        <v>4641.9799999999996</v>
      </c>
      <c r="E12" s="16">
        <v>9871.92</v>
      </c>
      <c r="F12" s="17">
        <f t="shared" ref="F12:F22" si="2">(D12-E12)/E12</f>
        <v>-0.52977941474404178</v>
      </c>
      <c r="G12" s="18">
        <v>607</v>
      </c>
      <c r="H12" s="18">
        <v>17</v>
      </c>
      <c r="I12" s="19">
        <f t="shared" si="1"/>
        <v>35.705882352941174</v>
      </c>
      <c r="J12" s="18">
        <v>7</v>
      </c>
      <c r="K12" s="19">
        <v>6</v>
      </c>
      <c r="L12" s="16">
        <v>510242.15</v>
      </c>
      <c r="M12" s="18">
        <v>60030</v>
      </c>
      <c r="N12" s="20">
        <v>46066</v>
      </c>
      <c r="O12" s="40" t="s">
        <v>55</v>
      </c>
      <c r="P12" s="51"/>
    </row>
    <row r="13" spans="1:16" s="21" customFormat="1" ht="24.9" customHeight="1">
      <c r="A13" s="14">
        <v>11</v>
      </c>
      <c r="B13" s="19">
        <v>6</v>
      </c>
      <c r="C13" s="15" t="s">
        <v>163</v>
      </c>
      <c r="D13" s="16">
        <v>4223.13</v>
      </c>
      <c r="E13" s="16">
        <v>10516.36</v>
      </c>
      <c r="F13" s="17">
        <f t="shared" si="2"/>
        <v>-0.59842283832048349</v>
      </c>
      <c r="G13" s="18">
        <v>523</v>
      </c>
      <c r="H13" s="18">
        <v>18</v>
      </c>
      <c r="I13" s="19">
        <f t="shared" si="1"/>
        <v>29.055555555555557</v>
      </c>
      <c r="J13" s="18">
        <v>6</v>
      </c>
      <c r="K13" s="19">
        <v>4</v>
      </c>
      <c r="L13" s="16">
        <v>114585.46</v>
      </c>
      <c r="M13" s="18">
        <v>14329</v>
      </c>
      <c r="N13" s="20">
        <v>46080</v>
      </c>
      <c r="O13" s="40" t="s">
        <v>38</v>
      </c>
      <c r="P13" s="51"/>
    </row>
    <row r="14" spans="1:16" s="21" customFormat="1" ht="24.9" customHeight="1">
      <c r="A14" s="14">
        <v>12</v>
      </c>
      <c r="B14" s="19">
        <v>8</v>
      </c>
      <c r="C14" s="15" t="s">
        <v>177</v>
      </c>
      <c r="D14" s="16">
        <v>1128.1300000000001</v>
      </c>
      <c r="E14" s="16">
        <v>5281.91</v>
      </c>
      <c r="F14" s="17">
        <f t="shared" si="2"/>
        <v>-0.78641627744509091</v>
      </c>
      <c r="G14" s="18">
        <v>168</v>
      </c>
      <c r="H14" s="18">
        <v>11</v>
      </c>
      <c r="I14" s="19">
        <f t="shared" si="1"/>
        <v>15.272727272727273</v>
      </c>
      <c r="J14" s="18">
        <v>4</v>
      </c>
      <c r="K14" s="19">
        <v>2</v>
      </c>
      <c r="L14" s="16">
        <v>8632.75</v>
      </c>
      <c r="M14" s="18">
        <v>1245</v>
      </c>
      <c r="N14" s="20">
        <v>46094</v>
      </c>
      <c r="O14" s="40" t="s">
        <v>166</v>
      </c>
      <c r="P14" s="51"/>
    </row>
    <row r="15" spans="1:16" s="21" customFormat="1" ht="24.9" customHeight="1">
      <c r="A15" s="14">
        <v>13</v>
      </c>
      <c r="B15" s="19">
        <v>10</v>
      </c>
      <c r="C15" s="15" t="s">
        <v>164</v>
      </c>
      <c r="D15" s="16">
        <v>942.34</v>
      </c>
      <c r="E15" s="16">
        <v>1637.47</v>
      </c>
      <c r="F15" s="17">
        <f t="shared" si="2"/>
        <v>-0.42451464759659718</v>
      </c>
      <c r="G15" s="18">
        <v>150</v>
      </c>
      <c r="H15" s="18">
        <v>6</v>
      </c>
      <c r="I15" s="19">
        <f t="shared" si="1"/>
        <v>25</v>
      </c>
      <c r="J15" s="18">
        <v>3</v>
      </c>
      <c r="K15" s="19">
        <v>4</v>
      </c>
      <c r="L15" s="16">
        <v>28304.240000000002</v>
      </c>
      <c r="M15" s="18">
        <v>4793</v>
      </c>
      <c r="N15" s="20">
        <v>46080</v>
      </c>
      <c r="O15" s="40" t="s">
        <v>166</v>
      </c>
      <c r="P15" s="51"/>
    </row>
    <row r="16" spans="1:16" s="21" customFormat="1" ht="24.6" customHeight="1">
      <c r="A16" s="14">
        <v>14</v>
      </c>
      <c r="B16" s="19">
        <v>19</v>
      </c>
      <c r="C16" s="15" t="s">
        <v>54</v>
      </c>
      <c r="D16" s="16">
        <v>633</v>
      </c>
      <c r="E16" s="16">
        <v>556.63</v>
      </c>
      <c r="F16" s="17">
        <f t="shared" si="2"/>
        <v>0.13720065393528916</v>
      </c>
      <c r="G16" s="18">
        <v>83</v>
      </c>
      <c r="H16" s="18">
        <v>3</v>
      </c>
      <c r="I16" s="19">
        <f t="shared" si="1"/>
        <v>27.666666666666668</v>
      </c>
      <c r="J16" s="18">
        <v>2</v>
      </c>
      <c r="K16" s="19" t="s">
        <v>13</v>
      </c>
      <c r="L16" s="16">
        <v>315745.03999999998</v>
      </c>
      <c r="M16" s="18">
        <v>40898</v>
      </c>
      <c r="N16" s="20">
        <v>45926</v>
      </c>
      <c r="O16" s="40" t="s">
        <v>55</v>
      </c>
      <c r="P16" s="51"/>
    </row>
    <row r="17" spans="1:16" s="21" customFormat="1" ht="24.9" customHeight="1">
      <c r="A17" s="14">
        <v>15</v>
      </c>
      <c r="B17" s="19">
        <v>11</v>
      </c>
      <c r="C17" s="15" t="s">
        <v>154</v>
      </c>
      <c r="D17" s="16">
        <v>597.04</v>
      </c>
      <c r="E17" s="16">
        <v>1479.72</v>
      </c>
      <c r="F17" s="17">
        <f t="shared" si="2"/>
        <v>-0.59651826021139143</v>
      </c>
      <c r="G17" s="18">
        <v>83</v>
      </c>
      <c r="H17" s="18">
        <v>5</v>
      </c>
      <c r="I17" s="19">
        <f t="shared" si="1"/>
        <v>16.600000000000001</v>
      </c>
      <c r="J17" s="18">
        <v>2</v>
      </c>
      <c r="K17" s="19">
        <v>4</v>
      </c>
      <c r="L17" s="16">
        <v>14708.93</v>
      </c>
      <c r="M17" s="18">
        <v>2134</v>
      </c>
      <c r="N17" s="20">
        <v>46080</v>
      </c>
      <c r="O17" s="40" t="s">
        <v>155</v>
      </c>
      <c r="P17" s="51"/>
    </row>
    <row r="18" spans="1:16" s="21" customFormat="1" ht="24.9" customHeight="1">
      <c r="A18" s="14">
        <v>16</v>
      </c>
      <c r="B18" s="19">
        <v>9</v>
      </c>
      <c r="C18" s="15" t="s">
        <v>89</v>
      </c>
      <c r="D18" s="16">
        <v>557</v>
      </c>
      <c r="E18" s="16">
        <v>2298.87</v>
      </c>
      <c r="F18" s="17">
        <f t="shared" si="2"/>
        <v>-0.75770704737544969</v>
      </c>
      <c r="G18" s="18">
        <v>81</v>
      </c>
      <c r="H18" s="18">
        <v>2</v>
      </c>
      <c r="I18" s="19">
        <f t="shared" si="1"/>
        <v>40.5</v>
      </c>
      <c r="J18" s="18">
        <v>2</v>
      </c>
      <c r="K18" s="19">
        <v>9</v>
      </c>
      <c r="L18" s="16">
        <v>704248.84</v>
      </c>
      <c r="M18" s="18">
        <v>86763</v>
      </c>
      <c r="N18" s="20">
        <v>46045</v>
      </c>
      <c r="O18" s="40" t="s">
        <v>42</v>
      </c>
      <c r="P18" s="51"/>
    </row>
    <row r="19" spans="1:16" s="21" customFormat="1" ht="24.6" customHeight="1">
      <c r="A19" s="14">
        <v>17</v>
      </c>
      <c r="B19" s="19">
        <v>17</v>
      </c>
      <c r="C19" s="15" t="s">
        <v>79</v>
      </c>
      <c r="D19" s="16">
        <v>555.32000000000005</v>
      </c>
      <c r="E19" s="16">
        <v>606.20000000000005</v>
      </c>
      <c r="F19" s="17">
        <f t="shared" si="2"/>
        <v>-8.3932695480039579E-2</v>
      </c>
      <c r="G19" s="18">
        <v>180</v>
      </c>
      <c r="H19" s="18">
        <v>5</v>
      </c>
      <c r="I19" s="19">
        <f t="shared" si="1"/>
        <v>36</v>
      </c>
      <c r="J19" s="18">
        <v>4</v>
      </c>
      <c r="K19" s="19">
        <v>10</v>
      </c>
      <c r="L19" s="16">
        <v>296546.3</v>
      </c>
      <c r="M19" s="18">
        <v>52841</v>
      </c>
      <c r="N19" s="20">
        <v>46038</v>
      </c>
      <c r="O19" s="40" t="s">
        <v>42</v>
      </c>
      <c r="P19" s="51"/>
    </row>
    <row r="20" spans="1:16" s="21" customFormat="1" ht="24.9" customHeight="1">
      <c r="A20" s="14">
        <v>18</v>
      </c>
      <c r="B20" s="19">
        <v>15</v>
      </c>
      <c r="C20" s="15" t="s">
        <v>127</v>
      </c>
      <c r="D20" s="16">
        <v>101</v>
      </c>
      <c r="E20" s="16">
        <v>1101.3399999999999</v>
      </c>
      <c r="F20" s="17">
        <f t="shared" si="2"/>
        <v>-0.9082935333321227</v>
      </c>
      <c r="G20" s="18">
        <v>18</v>
      </c>
      <c r="H20" s="18">
        <v>1</v>
      </c>
      <c r="I20" s="19">
        <f t="shared" si="1"/>
        <v>18</v>
      </c>
      <c r="J20" s="18">
        <v>1</v>
      </c>
      <c r="K20" s="19" t="s">
        <v>13</v>
      </c>
      <c r="L20" s="16">
        <v>85754.05</v>
      </c>
      <c r="M20" s="18">
        <v>12487</v>
      </c>
      <c r="N20" s="20">
        <v>45765</v>
      </c>
      <c r="O20" s="40" t="s">
        <v>55</v>
      </c>
      <c r="P20" s="51"/>
    </row>
    <row r="21" spans="1:16" s="21" customFormat="1" ht="24.75" customHeight="1">
      <c r="A21" s="14">
        <v>19</v>
      </c>
      <c r="B21" s="19">
        <v>21</v>
      </c>
      <c r="C21" s="15" t="s">
        <v>135</v>
      </c>
      <c r="D21" s="16">
        <v>90</v>
      </c>
      <c r="E21" s="16">
        <v>387.3</v>
      </c>
      <c r="F21" s="17">
        <f t="shared" si="2"/>
        <v>-0.76762199845081336</v>
      </c>
      <c r="G21" s="18">
        <v>18</v>
      </c>
      <c r="H21" s="18">
        <v>3</v>
      </c>
      <c r="I21" s="19">
        <f t="shared" si="1"/>
        <v>6</v>
      </c>
      <c r="J21" s="18">
        <v>2</v>
      </c>
      <c r="K21" s="19">
        <v>6</v>
      </c>
      <c r="L21" s="16">
        <v>72833.350000000006</v>
      </c>
      <c r="M21" s="18">
        <v>12552</v>
      </c>
      <c r="N21" s="20">
        <v>46066</v>
      </c>
      <c r="O21" s="40" t="s">
        <v>46</v>
      </c>
      <c r="P21" s="51"/>
    </row>
    <row r="22" spans="1:16" s="44" customFormat="1" ht="24.75" customHeight="1">
      <c r="A22" s="14">
        <v>20</v>
      </c>
      <c r="B22" s="19">
        <v>23</v>
      </c>
      <c r="C22" s="15" t="s">
        <v>161</v>
      </c>
      <c r="D22" s="16">
        <v>68</v>
      </c>
      <c r="E22" s="16">
        <v>365</v>
      </c>
      <c r="F22" s="17">
        <f t="shared" si="2"/>
        <v>-0.81369863013698629</v>
      </c>
      <c r="G22" s="18">
        <v>17</v>
      </c>
      <c r="H22" s="18">
        <v>1</v>
      </c>
      <c r="I22" s="19">
        <f t="shared" si="1"/>
        <v>17</v>
      </c>
      <c r="J22" s="18">
        <v>1</v>
      </c>
      <c r="K22" s="19">
        <v>4</v>
      </c>
      <c r="L22" s="16">
        <v>20929.04</v>
      </c>
      <c r="M22" s="18">
        <v>2988</v>
      </c>
      <c r="N22" s="20">
        <v>46080</v>
      </c>
      <c r="O22" s="40" t="s">
        <v>42</v>
      </c>
      <c r="P22" s="51"/>
    </row>
    <row r="23" spans="1:16" s="44" customFormat="1" ht="24.9" customHeight="1">
      <c r="A23" s="14">
        <v>21</v>
      </c>
      <c r="B23" s="16" t="s">
        <v>13</v>
      </c>
      <c r="C23" s="15" t="s">
        <v>69</v>
      </c>
      <c r="D23" s="16">
        <v>65</v>
      </c>
      <c r="E23" s="16" t="s">
        <v>13</v>
      </c>
      <c r="F23" s="17" t="s">
        <v>13</v>
      </c>
      <c r="G23" s="18">
        <v>13</v>
      </c>
      <c r="H23" s="18" t="s">
        <v>13</v>
      </c>
      <c r="I23" s="19" t="s">
        <v>13</v>
      </c>
      <c r="J23" s="18">
        <v>1</v>
      </c>
      <c r="K23" s="19" t="s">
        <v>13</v>
      </c>
      <c r="L23" s="16">
        <v>113990</v>
      </c>
      <c r="M23" s="18">
        <v>21481</v>
      </c>
      <c r="N23" s="20">
        <v>45954</v>
      </c>
      <c r="O23" s="40" t="s">
        <v>44</v>
      </c>
      <c r="P23" s="51"/>
    </row>
    <row r="24" spans="1:16" ht="24.6" customHeight="1">
      <c r="A24" s="14">
        <v>22</v>
      </c>
      <c r="B24" s="19" t="s">
        <v>13</v>
      </c>
      <c r="C24" s="15" t="s">
        <v>185</v>
      </c>
      <c r="D24" s="16">
        <v>34.799999999999997</v>
      </c>
      <c r="E24" s="16" t="s">
        <v>13</v>
      </c>
      <c r="F24" s="17" t="s">
        <v>13</v>
      </c>
      <c r="G24" s="18">
        <v>7</v>
      </c>
      <c r="H24" s="18">
        <v>1</v>
      </c>
      <c r="I24" s="19">
        <f>G24/H24</f>
        <v>7</v>
      </c>
      <c r="J24" s="18">
        <v>1</v>
      </c>
      <c r="K24" s="19" t="s">
        <v>13</v>
      </c>
      <c r="L24" s="16">
        <v>191826.7</v>
      </c>
      <c r="M24" s="18">
        <v>42313</v>
      </c>
      <c r="N24" s="20">
        <v>43070</v>
      </c>
      <c r="O24" s="40" t="s">
        <v>42</v>
      </c>
      <c r="P24" s="51"/>
    </row>
    <row r="25" spans="1:16" s="44" customFormat="1" ht="24.9" customHeight="1">
      <c r="A25" s="14">
        <v>23</v>
      </c>
      <c r="B25" s="19" t="s">
        <v>13</v>
      </c>
      <c r="C25" s="15" t="s">
        <v>186</v>
      </c>
      <c r="D25" s="16">
        <v>16.2</v>
      </c>
      <c r="E25" s="16" t="s">
        <v>13</v>
      </c>
      <c r="F25" s="17" t="s">
        <v>13</v>
      </c>
      <c r="G25" s="18">
        <v>3</v>
      </c>
      <c r="H25" s="18">
        <v>1</v>
      </c>
      <c r="I25" s="19">
        <f>G25/H25</f>
        <v>3</v>
      </c>
      <c r="J25" s="18">
        <v>1</v>
      </c>
      <c r="K25" s="19" t="s">
        <v>13</v>
      </c>
      <c r="L25" s="16">
        <v>67681.919999999998</v>
      </c>
      <c r="M25" s="18">
        <v>13847</v>
      </c>
      <c r="N25" s="20">
        <v>45373</v>
      </c>
      <c r="O25" s="40" t="s">
        <v>42</v>
      </c>
      <c r="P25" s="51"/>
    </row>
    <row r="26" spans="1:16" ht="24.9" customHeight="1">
      <c r="A26" s="14">
        <v>24</v>
      </c>
      <c r="B26" s="19" t="s">
        <v>49</v>
      </c>
      <c r="C26" s="15" t="s">
        <v>182</v>
      </c>
      <c r="D26" s="16">
        <v>15</v>
      </c>
      <c r="E26" s="16" t="s">
        <v>13</v>
      </c>
      <c r="F26" s="17" t="s">
        <v>13</v>
      </c>
      <c r="G26" s="18">
        <v>2</v>
      </c>
      <c r="H26" s="18">
        <v>1</v>
      </c>
      <c r="I26" s="19">
        <f>G26/H26</f>
        <v>2</v>
      </c>
      <c r="J26" s="18">
        <v>1</v>
      </c>
      <c r="K26" s="19">
        <v>1</v>
      </c>
      <c r="L26" s="16">
        <v>15</v>
      </c>
      <c r="M26" s="18">
        <v>2</v>
      </c>
      <c r="N26" s="20">
        <v>46101</v>
      </c>
      <c r="O26" s="40" t="s">
        <v>183</v>
      </c>
      <c r="P26" s="51"/>
    </row>
    <row r="27" spans="1:16" ht="24.9" customHeight="1">
      <c r="A27" s="14">
        <v>25</v>
      </c>
      <c r="B27" s="19" t="s">
        <v>13</v>
      </c>
      <c r="C27" s="15" t="s">
        <v>140</v>
      </c>
      <c r="D27" s="16">
        <v>10</v>
      </c>
      <c r="E27" s="16" t="s">
        <v>13</v>
      </c>
      <c r="F27" s="17" t="s">
        <v>13</v>
      </c>
      <c r="G27" s="18">
        <v>2</v>
      </c>
      <c r="H27" s="18">
        <v>1</v>
      </c>
      <c r="I27" s="19">
        <f>G27/H27</f>
        <v>2</v>
      </c>
      <c r="J27" s="18">
        <v>1</v>
      </c>
      <c r="K27" s="19" t="s">
        <v>13</v>
      </c>
      <c r="L27" s="16">
        <v>7886.92</v>
      </c>
      <c r="M27" s="18">
        <v>1112</v>
      </c>
      <c r="N27" s="20">
        <v>46073</v>
      </c>
      <c r="O27" s="40" t="s">
        <v>86</v>
      </c>
      <c r="P27" s="51"/>
    </row>
    <row r="28" spans="1:16" s="44" customFormat="1" ht="24.9" customHeight="1">
      <c r="A28" s="14">
        <v>26</v>
      </c>
      <c r="B28" s="19" t="s">
        <v>13</v>
      </c>
      <c r="C28" s="15" t="s">
        <v>156</v>
      </c>
      <c r="D28" s="16">
        <v>8</v>
      </c>
      <c r="E28" s="16" t="s">
        <v>13</v>
      </c>
      <c r="F28" s="17" t="s">
        <v>13</v>
      </c>
      <c r="G28" s="18">
        <v>3</v>
      </c>
      <c r="H28" s="18">
        <v>1</v>
      </c>
      <c r="I28" s="19">
        <f>G28/H28</f>
        <v>3</v>
      </c>
      <c r="J28" s="18">
        <v>1</v>
      </c>
      <c r="K28" s="19" t="s">
        <v>13</v>
      </c>
      <c r="L28" s="16">
        <v>1156.57</v>
      </c>
      <c r="M28" s="18">
        <v>195</v>
      </c>
      <c r="N28" s="20">
        <v>46080</v>
      </c>
      <c r="O28" s="40" t="s">
        <v>46</v>
      </c>
      <c r="P28" s="51"/>
    </row>
    <row r="29" spans="1:16" ht="24.75" customHeight="1">
      <c r="A29" s="25"/>
      <c r="B29" s="50" t="s">
        <v>14</v>
      </c>
      <c r="C29" s="29" t="s">
        <v>188</v>
      </c>
      <c r="D29" s="27">
        <f>SUBTOTAL(109,Table13245678910111213[Pajamos 
(GBO)])</f>
        <v>228671.20000000004</v>
      </c>
      <c r="E29" s="27" t="s">
        <v>180</v>
      </c>
      <c r="F29" s="43">
        <f>(D29-E29)/E29</f>
        <v>0.20497225632729651</v>
      </c>
      <c r="G29" s="34">
        <f>SUBTOTAL(109,Table13245678910111213[Žiūrovų sk. 
(ADM)])</f>
        <v>29979</v>
      </c>
      <c r="H29" s="36"/>
      <c r="I29" s="25"/>
      <c r="J29" s="36"/>
      <c r="K29" s="48"/>
      <c r="L29" s="32"/>
      <c r="M29" s="36"/>
      <c r="N29" s="38"/>
      <c r="O29" s="41"/>
      <c r="P29" s="52"/>
    </row>
    <row r="30" spans="1:16"/>
    <row r="31" spans="1:16"/>
    <row r="32" spans="1:16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D0DDC-FC9D-4396-A3B4-5F40BD88AD8C}">
  <sheetPr>
    <pageSetUpPr fitToPage="1"/>
  </sheetPr>
  <dimension ref="A1:XFC139"/>
  <sheetViews>
    <sheetView zoomScale="60" zoomScaleNormal="60" workbookViewId="0">
      <selection activeCell="N22" sqref="N22:O22"/>
    </sheetView>
  </sheetViews>
  <sheetFormatPr defaultColWidth="0" defaultRowHeight="11.4" zeroHeight="1"/>
  <cols>
    <col min="1" max="1" width="4.75" style="1" customWidth="1"/>
    <col min="2" max="2" width="4.75" style="49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6" s="4" customFormat="1" ht="40.5" customHeight="1" thickBot="1">
      <c r="A1" s="96" t="s">
        <v>178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1" customFormat="1" ht="24.6" customHeight="1">
      <c r="A3" s="14">
        <v>1</v>
      </c>
      <c r="B3" s="19">
        <v>2</v>
      </c>
      <c r="C3" s="15" t="s">
        <v>170</v>
      </c>
      <c r="D3" s="16">
        <v>47547.75</v>
      </c>
      <c r="E3" s="16">
        <v>69829.320000000007</v>
      </c>
      <c r="F3" s="17">
        <f>(D3-E3)/E3</f>
        <v>-0.31908616609756479</v>
      </c>
      <c r="G3" s="18">
        <v>7409</v>
      </c>
      <c r="H3" s="18">
        <v>153</v>
      </c>
      <c r="I3" s="19">
        <f>G3/H3</f>
        <v>48.424836601307192</v>
      </c>
      <c r="J3" s="18">
        <v>21</v>
      </c>
      <c r="K3" s="19">
        <v>2</v>
      </c>
      <c r="L3" s="16">
        <v>161707.60999999999</v>
      </c>
      <c r="M3" s="18">
        <v>25987</v>
      </c>
      <c r="N3" s="20">
        <v>46087</v>
      </c>
      <c r="O3" s="40" t="s">
        <v>37</v>
      </c>
      <c r="P3" s="51"/>
    </row>
    <row r="4" spans="1:16" s="21" customFormat="1" ht="24.9" customHeight="1">
      <c r="A4" s="14">
        <v>2</v>
      </c>
      <c r="B4" s="12">
        <v>1</v>
      </c>
      <c r="C4" s="8" t="s">
        <v>171</v>
      </c>
      <c r="D4" s="9">
        <v>42112</v>
      </c>
      <c r="E4" s="16" t="s">
        <v>13</v>
      </c>
      <c r="F4" s="17" t="s">
        <v>13</v>
      </c>
      <c r="G4" s="11">
        <v>5014</v>
      </c>
      <c r="H4" s="9">
        <v>71</v>
      </c>
      <c r="I4" s="19">
        <f>G4/H4</f>
        <v>70.619718309859152</v>
      </c>
      <c r="J4" s="19" t="s">
        <v>13</v>
      </c>
      <c r="K4" s="12">
        <v>2</v>
      </c>
      <c r="L4" s="9">
        <v>167608</v>
      </c>
      <c r="M4" s="9">
        <v>21407</v>
      </c>
      <c r="N4" s="13">
        <v>46087</v>
      </c>
      <c r="O4" s="39" t="s">
        <v>74</v>
      </c>
      <c r="P4" s="42"/>
    </row>
    <row r="5" spans="1:16" s="21" customFormat="1" ht="24.9" customHeight="1">
      <c r="A5" s="14">
        <v>3</v>
      </c>
      <c r="B5" s="19">
        <v>3</v>
      </c>
      <c r="C5" s="15" t="s">
        <v>133</v>
      </c>
      <c r="D5" s="16">
        <v>26402.89</v>
      </c>
      <c r="E5" s="16">
        <v>53283.17</v>
      </c>
      <c r="F5" s="17">
        <f>(D5-E5)/E5</f>
        <v>-0.50447974472990254</v>
      </c>
      <c r="G5" s="18">
        <v>3230</v>
      </c>
      <c r="H5" s="18">
        <v>82</v>
      </c>
      <c r="I5" s="19">
        <f>G5/H5</f>
        <v>39.390243902439025</v>
      </c>
      <c r="J5" s="18">
        <v>16</v>
      </c>
      <c r="K5" s="19">
        <v>5</v>
      </c>
      <c r="L5" s="16">
        <v>844474.29</v>
      </c>
      <c r="M5" s="18">
        <v>104113</v>
      </c>
      <c r="N5" s="20">
        <v>46066</v>
      </c>
      <c r="O5" s="40" t="s">
        <v>134</v>
      </c>
      <c r="P5" s="51"/>
    </row>
    <row r="6" spans="1:16" s="21" customFormat="1" ht="24.6" customHeight="1">
      <c r="A6" s="14">
        <v>4</v>
      </c>
      <c r="B6" s="19">
        <v>5</v>
      </c>
      <c r="C6" s="15" t="s">
        <v>126</v>
      </c>
      <c r="D6" s="16">
        <v>16802.93</v>
      </c>
      <c r="E6" s="16">
        <v>31411</v>
      </c>
      <c r="F6" s="17">
        <f>(D6-E6)/E6</f>
        <v>-0.46506223934290536</v>
      </c>
      <c r="G6" s="18">
        <v>2697</v>
      </c>
      <c r="H6" s="18">
        <v>71</v>
      </c>
      <c r="I6" s="19">
        <f>G6/H6</f>
        <v>37.985915492957744</v>
      </c>
      <c r="J6" s="18">
        <v>13</v>
      </c>
      <c r="K6" s="19">
        <v>4</v>
      </c>
      <c r="L6" s="16">
        <v>264825.89</v>
      </c>
      <c r="M6" s="18">
        <v>43084</v>
      </c>
      <c r="N6" s="20">
        <v>46073</v>
      </c>
      <c r="O6" s="40" t="s">
        <v>39</v>
      </c>
      <c r="P6" s="51"/>
    </row>
    <row r="7" spans="1:16" s="21" customFormat="1" ht="24.6" customHeight="1">
      <c r="A7" s="14">
        <v>5</v>
      </c>
      <c r="B7" s="19">
        <v>4</v>
      </c>
      <c r="C7" s="15" t="s">
        <v>131</v>
      </c>
      <c r="D7" s="16">
        <v>16011.58</v>
      </c>
      <c r="E7" s="16">
        <v>38279.480000000003</v>
      </c>
      <c r="F7" s="17">
        <f>(D7-E7)/E7</f>
        <v>-0.58171897841872455</v>
      </c>
      <c r="G7" s="18">
        <v>1964</v>
      </c>
      <c r="H7" s="17" t="s">
        <v>13</v>
      </c>
      <c r="I7" s="17" t="s">
        <v>13</v>
      </c>
      <c r="J7" s="18">
        <v>9</v>
      </c>
      <c r="K7" s="19">
        <v>4</v>
      </c>
      <c r="L7" s="16">
        <v>291099.33</v>
      </c>
      <c r="M7" s="16">
        <v>38761</v>
      </c>
      <c r="N7" s="20">
        <v>46073</v>
      </c>
      <c r="O7" s="40" t="s">
        <v>147</v>
      </c>
      <c r="P7" s="51"/>
    </row>
    <row r="8" spans="1:16" s="21" customFormat="1" ht="24.6" customHeight="1">
      <c r="A8" s="14">
        <v>6</v>
      </c>
      <c r="B8" s="19">
        <v>7</v>
      </c>
      <c r="C8" s="15" t="s">
        <v>163</v>
      </c>
      <c r="D8" s="16">
        <v>10516.36</v>
      </c>
      <c r="E8" s="16">
        <v>20490.09</v>
      </c>
      <c r="F8" s="17">
        <f>(D8-E8)/E8</f>
        <v>-0.48675872092313893</v>
      </c>
      <c r="G8" s="18">
        <v>1166</v>
      </c>
      <c r="H8" s="18">
        <v>32</v>
      </c>
      <c r="I8" s="19">
        <f t="shared" ref="I8:I32" si="0">G8/H8</f>
        <v>36.4375</v>
      </c>
      <c r="J8" s="18">
        <v>8</v>
      </c>
      <c r="K8" s="19">
        <v>3</v>
      </c>
      <c r="L8" s="16">
        <v>105989.14</v>
      </c>
      <c r="M8" s="18">
        <v>13216</v>
      </c>
      <c r="N8" s="20">
        <v>46080</v>
      </c>
      <c r="O8" s="40" t="s">
        <v>38</v>
      </c>
      <c r="P8" s="51"/>
    </row>
    <row r="9" spans="1:16" s="21" customFormat="1" ht="24.6" customHeight="1">
      <c r="A9" s="14">
        <v>7</v>
      </c>
      <c r="B9" s="19">
        <v>6</v>
      </c>
      <c r="C9" s="15" t="s">
        <v>123</v>
      </c>
      <c r="D9" s="16">
        <v>9871.92</v>
      </c>
      <c r="E9" s="16">
        <v>26717.09</v>
      </c>
      <c r="F9" s="17">
        <f>(D9-E9)/E9</f>
        <v>-0.6305016751450101</v>
      </c>
      <c r="G9" s="18">
        <v>1199</v>
      </c>
      <c r="H9" s="18">
        <v>35</v>
      </c>
      <c r="I9" s="19">
        <f t="shared" si="0"/>
        <v>34.25714285714286</v>
      </c>
      <c r="J9" s="18">
        <v>9</v>
      </c>
      <c r="K9" s="19">
        <v>5</v>
      </c>
      <c r="L9" s="16">
        <v>501557.2</v>
      </c>
      <c r="M9" s="18">
        <v>58783</v>
      </c>
      <c r="N9" s="20">
        <v>46066</v>
      </c>
      <c r="O9" s="40" t="s">
        <v>55</v>
      </c>
      <c r="P9" s="51"/>
    </row>
    <row r="10" spans="1:16" s="21" customFormat="1" ht="24.6" customHeight="1">
      <c r="A10" s="14">
        <v>8</v>
      </c>
      <c r="B10" s="19" t="s">
        <v>49</v>
      </c>
      <c r="C10" s="15" t="s">
        <v>177</v>
      </c>
      <c r="D10" s="16">
        <v>5281.91</v>
      </c>
      <c r="E10" s="16" t="s">
        <v>13</v>
      </c>
      <c r="F10" s="17" t="s">
        <v>13</v>
      </c>
      <c r="G10" s="18">
        <v>699</v>
      </c>
      <c r="H10" s="18">
        <v>38</v>
      </c>
      <c r="I10" s="19">
        <f t="shared" si="0"/>
        <v>18.394736842105264</v>
      </c>
      <c r="J10" s="18">
        <v>11</v>
      </c>
      <c r="K10" s="19">
        <v>1</v>
      </c>
      <c r="L10" s="16">
        <v>5398.68</v>
      </c>
      <c r="M10" s="18">
        <v>729</v>
      </c>
      <c r="N10" s="20">
        <v>46094</v>
      </c>
      <c r="O10" s="40" t="s">
        <v>166</v>
      </c>
      <c r="P10" s="51"/>
    </row>
    <row r="11" spans="1:16" s="2" customFormat="1" ht="24.9" customHeight="1">
      <c r="A11" s="14">
        <v>9</v>
      </c>
      <c r="B11" s="19">
        <v>9</v>
      </c>
      <c r="C11" s="15" t="s">
        <v>89</v>
      </c>
      <c r="D11" s="16">
        <v>2298.87</v>
      </c>
      <c r="E11" s="16">
        <v>7149.43</v>
      </c>
      <c r="F11" s="17">
        <f t="shared" ref="F11:F16" si="1">(D11-E11)/E11</f>
        <v>-0.67845408654955708</v>
      </c>
      <c r="G11" s="18">
        <v>282</v>
      </c>
      <c r="H11" s="18">
        <v>7</v>
      </c>
      <c r="I11" s="19">
        <f t="shared" si="0"/>
        <v>40.285714285714285</v>
      </c>
      <c r="J11" s="18">
        <v>4</v>
      </c>
      <c r="K11" s="19">
        <v>8</v>
      </c>
      <c r="L11" s="16">
        <v>702699.85</v>
      </c>
      <c r="M11" s="18">
        <v>86537</v>
      </c>
      <c r="N11" s="20">
        <v>46045</v>
      </c>
      <c r="O11" s="40" t="s">
        <v>42</v>
      </c>
      <c r="P11" s="51"/>
    </row>
    <row r="12" spans="1:16" s="21" customFormat="1" ht="24.9" customHeight="1">
      <c r="A12" s="14">
        <v>10</v>
      </c>
      <c r="B12" s="19">
        <v>11</v>
      </c>
      <c r="C12" s="15" t="s">
        <v>164</v>
      </c>
      <c r="D12" s="16">
        <v>1637.47</v>
      </c>
      <c r="E12" s="16">
        <v>4621.93</v>
      </c>
      <c r="F12" s="17">
        <f t="shared" si="1"/>
        <v>-0.64571726529826279</v>
      </c>
      <c r="G12" s="18">
        <v>217</v>
      </c>
      <c r="H12" s="18">
        <v>12</v>
      </c>
      <c r="I12" s="19">
        <f t="shared" si="0"/>
        <v>18.083333333333332</v>
      </c>
      <c r="J12" s="18">
        <v>5</v>
      </c>
      <c r="K12" s="19">
        <v>3</v>
      </c>
      <c r="L12" s="16">
        <v>26596.94</v>
      </c>
      <c r="M12" s="18">
        <v>4503</v>
      </c>
      <c r="N12" s="20">
        <v>46080</v>
      </c>
      <c r="O12" s="40" t="s">
        <v>166</v>
      </c>
      <c r="P12" s="51"/>
    </row>
    <row r="13" spans="1:16" s="21" customFormat="1" ht="24.9" customHeight="1">
      <c r="A13" s="14">
        <v>11</v>
      </c>
      <c r="B13" s="19">
        <v>15</v>
      </c>
      <c r="C13" s="15" t="s">
        <v>154</v>
      </c>
      <c r="D13" s="16">
        <v>1479.72</v>
      </c>
      <c r="E13" s="16">
        <v>2498.21</v>
      </c>
      <c r="F13" s="17">
        <f t="shared" si="1"/>
        <v>-0.40768790453965037</v>
      </c>
      <c r="G13" s="18">
        <v>191</v>
      </c>
      <c r="H13" s="18">
        <v>18</v>
      </c>
      <c r="I13" s="19">
        <f t="shared" si="0"/>
        <v>10.611111111111111</v>
      </c>
      <c r="J13" s="18">
        <v>3</v>
      </c>
      <c r="K13" s="19">
        <v>3</v>
      </c>
      <c r="L13" s="16">
        <v>13373.74</v>
      </c>
      <c r="M13" s="18">
        <v>1906</v>
      </c>
      <c r="N13" s="20">
        <v>46080</v>
      </c>
      <c r="O13" s="40" t="s">
        <v>155</v>
      </c>
      <c r="P13" s="51"/>
    </row>
    <row r="14" spans="1:16" s="21" customFormat="1" ht="24.9" customHeight="1">
      <c r="A14" s="14">
        <v>12</v>
      </c>
      <c r="B14" s="19">
        <v>14</v>
      </c>
      <c r="C14" s="15" t="s">
        <v>18</v>
      </c>
      <c r="D14" s="45">
        <v>1411.34</v>
      </c>
      <c r="E14" s="16">
        <v>3596.14</v>
      </c>
      <c r="F14" s="17">
        <f t="shared" si="1"/>
        <v>-0.60754030710706486</v>
      </c>
      <c r="G14" s="46">
        <v>214</v>
      </c>
      <c r="H14" s="18">
        <v>10</v>
      </c>
      <c r="I14" s="19">
        <f t="shared" si="0"/>
        <v>21.4</v>
      </c>
      <c r="J14" s="18">
        <v>4</v>
      </c>
      <c r="K14" s="19">
        <v>16</v>
      </c>
      <c r="L14" s="45">
        <v>1274876.05</v>
      </c>
      <c r="M14" s="46">
        <v>202807</v>
      </c>
      <c r="N14" s="20">
        <v>45989</v>
      </c>
      <c r="O14" s="40" t="s">
        <v>37</v>
      </c>
      <c r="P14" s="51"/>
    </row>
    <row r="15" spans="1:16" s="21" customFormat="1" ht="24.9" customHeight="1">
      <c r="A15" s="14">
        <v>13</v>
      </c>
      <c r="B15" s="14">
        <v>8</v>
      </c>
      <c r="C15" s="15" t="s">
        <v>169</v>
      </c>
      <c r="D15" s="16">
        <v>1200.8</v>
      </c>
      <c r="E15" s="16">
        <v>9459.5</v>
      </c>
      <c r="F15" s="17">
        <f t="shared" si="1"/>
        <v>-0.87305882974787263</v>
      </c>
      <c r="G15" s="18">
        <v>150</v>
      </c>
      <c r="H15" s="18">
        <v>14</v>
      </c>
      <c r="I15" s="19">
        <f t="shared" si="0"/>
        <v>10.714285714285714</v>
      </c>
      <c r="J15" s="18">
        <v>5</v>
      </c>
      <c r="K15" s="19">
        <v>2</v>
      </c>
      <c r="L15" s="16">
        <v>15826.5</v>
      </c>
      <c r="M15" s="18">
        <v>1935</v>
      </c>
      <c r="N15" s="20">
        <v>46087</v>
      </c>
      <c r="O15" s="40" t="s">
        <v>55</v>
      </c>
      <c r="P15" s="51"/>
    </row>
    <row r="16" spans="1:16" s="21" customFormat="1" ht="24.6" customHeight="1">
      <c r="A16" s="14">
        <v>14</v>
      </c>
      <c r="B16" s="19">
        <v>17</v>
      </c>
      <c r="C16" s="15" t="s">
        <v>93</v>
      </c>
      <c r="D16" s="16">
        <v>1161.1099999999999</v>
      </c>
      <c r="E16" s="16">
        <v>1615.35</v>
      </c>
      <c r="F16" s="17">
        <f t="shared" si="1"/>
        <v>-0.28120221623796704</v>
      </c>
      <c r="G16" s="18">
        <v>148</v>
      </c>
      <c r="H16" s="18">
        <v>10</v>
      </c>
      <c r="I16" s="19">
        <f t="shared" si="0"/>
        <v>14.8</v>
      </c>
      <c r="J16" s="18">
        <v>5</v>
      </c>
      <c r="K16" s="19">
        <v>8</v>
      </c>
      <c r="L16" s="16">
        <v>159387.32999999999</v>
      </c>
      <c r="M16" s="18">
        <v>22101</v>
      </c>
      <c r="N16" s="20">
        <v>46045</v>
      </c>
      <c r="O16" s="40" t="s">
        <v>94</v>
      </c>
      <c r="P16" s="51"/>
    </row>
    <row r="17" spans="1:16" s="21" customFormat="1" ht="24.9" customHeight="1">
      <c r="A17" s="14">
        <v>15</v>
      </c>
      <c r="B17" s="19" t="s">
        <v>13</v>
      </c>
      <c r="C17" s="15" t="s">
        <v>127</v>
      </c>
      <c r="D17" s="16">
        <v>1101.3399999999999</v>
      </c>
      <c r="E17" s="16" t="s">
        <v>13</v>
      </c>
      <c r="F17" s="17" t="s">
        <v>13</v>
      </c>
      <c r="G17" s="18">
        <v>140</v>
      </c>
      <c r="H17" s="18">
        <v>3</v>
      </c>
      <c r="I17" s="19">
        <f t="shared" si="0"/>
        <v>46.666666666666664</v>
      </c>
      <c r="J17" s="18">
        <v>3</v>
      </c>
      <c r="K17" s="19" t="s">
        <v>13</v>
      </c>
      <c r="L17" s="16">
        <v>84496.27</v>
      </c>
      <c r="M17" s="18">
        <v>12283</v>
      </c>
      <c r="N17" s="20">
        <v>45765</v>
      </c>
      <c r="O17" s="40" t="s">
        <v>55</v>
      </c>
      <c r="P17" s="51"/>
    </row>
    <row r="18" spans="1:16" s="21" customFormat="1" ht="24.9" customHeight="1">
      <c r="A18" s="14">
        <v>16</v>
      </c>
      <c r="B18" s="16" t="s">
        <v>13</v>
      </c>
      <c r="C18" s="15" t="s">
        <v>174</v>
      </c>
      <c r="D18" s="16">
        <v>717.28</v>
      </c>
      <c r="E18" s="16" t="s">
        <v>13</v>
      </c>
      <c r="F18" s="17" t="s">
        <v>13</v>
      </c>
      <c r="G18" s="18">
        <v>90</v>
      </c>
      <c r="H18" s="18">
        <v>3</v>
      </c>
      <c r="I18" s="19">
        <f t="shared" si="0"/>
        <v>30</v>
      </c>
      <c r="J18" s="18">
        <v>3</v>
      </c>
      <c r="K18" s="19" t="s">
        <v>13</v>
      </c>
      <c r="L18" s="16">
        <v>823616.09</v>
      </c>
      <c r="M18" s="18">
        <v>110218</v>
      </c>
      <c r="N18" s="20">
        <v>45835</v>
      </c>
      <c r="O18" s="40" t="s">
        <v>55</v>
      </c>
      <c r="P18" s="51"/>
    </row>
    <row r="19" spans="1:16" s="21" customFormat="1" ht="24.6" customHeight="1">
      <c r="A19" s="14">
        <v>17</v>
      </c>
      <c r="B19" s="19">
        <v>16</v>
      </c>
      <c r="C19" s="15" t="s">
        <v>79</v>
      </c>
      <c r="D19" s="16">
        <v>606.20000000000005</v>
      </c>
      <c r="E19" s="16">
        <v>1636.84</v>
      </c>
      <c r="F19" s="17">
        <f>(D19-E19)/E19</f>
        <v>-0.6296522567874685</v>
      </c>
      <c r="G19" s="18">
        <v>124</v>
      </c>
      <c r="H19" s="18">
        <v>7</v>
      </c>
      <c r="I19" s="19">
        <f t="shared" si="0"/>
        <v>17.714285714285715</v>
      </c>
      <c r="J19" s="18">
        <v>4</v>
      </c>
      <c r="K19" s="19">
        <v>9</v>
      </c>
      <c r="L19" s="16">
        <v>295122.42</v>
      </c>
      <c r="M19" s="18">
        <v>52418</v>
      </c>
      <c r="N19" s="20">
        <v>46038</v>
      </c>
      <c r="O19" s="40" t="s">
        <v>42</v>
      </c>
      <c r="P19" s="51"/>
    </row>
    <row r="20" spans="1:16" s="2" customFormat="1" ht="24.9" customHeight="1">
      <c r="A20" s="14">
        <v>18</v>
      </c>
      <c r="B20" s="19" t="s">
        <v>53</v>
      </c>
      <c r="C20" s="15" t="s">
        <v>175</v>
      </c>
      <c r="D20" s="16">
        <v>600.4</v>
      </c>
      <c r="E20" s="16" t="s">
        <v>13</v>
      </c>
      <c r="F20" s="17" t="s">
        <v>13</v>
      </c>
      <c r="G20" s="18">
        <v>99</v>
      </c>
      <c r="H20" s="18">
        <v>4</v>
      </c>
      <c r="I20" s="19">
        <f t="shared" si="0"/>
        <v>24.75</v>
      </c>
      <c r="J20" s="18">
        <v>4</v>
      </c>
      <c r="K20" s="19">
        <v>0</v>
      </c>
      <c r="L20" s="16">
        <v>600.4</v>
      </c>
      <c r="M20" s="18">
        <v>99</v>
      </c>
      <c r="N20" s="20" t="s">
        <v>45</v>
      </c>
      <c r="O20" s="40" t="s">
        <v>42</v>
      </c>
      <c r="P20" s="51"/>
    </row>
    <row r="21" spans="1:16" s="2" customFormat="1" ht="24.75" customHeight="1">
      <c r="A21" s="14">
        <v>19</v>
      </c>
      <c r="B21" s="16" t="s">
        <v>13</v>
      </c>
      <c r="C21" s="15" t="s">
        <v>54</v>
      </c>
      <c r="D21" s="16">
        <v>556.63</v>
      </c>
      <c r="E21" s="16" t="s">
        <v>13</v>
      </c>
      <c r="F21" s="17" t="s">
        <v>13</v>
      </c>
      <c r="G21" s="18">
        <v>71</v>
      </c>
      <c r="H21" s="18">
        <v>2</v>
      </c>
      <c r="I21" s="19">
        <f t="shared" si="0"/>
        <v>35.5</v>
      </c>
      <c r="J21" s="18">
        <v>2</v>
      </c>
      <c r="K21" s="19" t="s">
        <v>13</v>
      </c>
      <c r="L21" s="16">
        <v>313153.15999999997</v>
      </c>
      <c r="M21" s="18">
        <v>40545</v>
      </c>
      <c r="N21" s="20">
        <v>45926</v>
      </c>
      <c r="O21" s="40" t="s">
        <v>55</v>
      </c>
      <c r="P21" s="51"/>
    </row>
    <row r="22" spans="1:16" s="44" customFormat="1" ht="24.75" customHeight="1">
      <c r="A22" s="14">
        <v>20</v>
      </c>
      <c r="B22" s="16" t="s">
        <v>13</v>
      </c>
      <c r="C22" s="15" t="s">
        <v>32</v>
      </c>
      <c r="D22" s="16">
        <v>406.47</v>
      </c>
      <c r="E22" s="16" t="s">
        <v>13</v>
      </c>
      <c r="F22" s="17" t="s">
        <v>13</v>
      </c>
      <c r="G22" s="18">
        <v>55</v>
      </c>
      <c r="H22" s="18">
        <v>2</v>
      </c>
      <c r="I22" s="19">
        <f t="shared" si="0"/>
        <v>27.5</v>
      </c>
      <c r="J22" s="18">
        <v>2</v>
      </c>
      <c r="K22" s="19" t="s">
        <v>13</v>
      </c>
      <c r="L22" s="16">
        <v>76671.23</v>
      </c>
      <c r="M22" s="18">
        <v>11166</v>
      </c>
      <c r="N22" s="20">
        <v>45961</v>
      </c>
      <c r="O22" s="40" t="s">
        <v>207</v>
      </c>
      <c r="P22" s="51"/>
    </row>
    <row r="23" spans="1:16" s="44" customFormat="1" ht="24.9" customHeight="1">
      <c r="A23" s="14">
        <v>21</v>
      </c>
      <c r="B23" s="19">
        <v>18</v>
      </c>
      <c r="C23" s="15" t="s">
        <v>135</v>
      </c>
      <c r="D23" s="16">
        <v>387.3</v>
      </c>
      <c r="E23" s="16">
        <v>1322.82</v>
      </c>
      <c r="F23" s="17">
        <f>(D23-E23)/E23</f>
        <v>-0.7072164013244433</v>
      </c>
      <c r="G23" s="18">
        <v>70</v>
      </c>
      <c r="H23" s="18">
        <v>5</v>
      </c>
      <c r="I23" s="19">
        <f t="shared" si="0"/>
        <v>14</v>
      </c>
      <c r="J23" s="18">
        <v>3</v>
      </c>
      <c r="K23" s="19">
        <v>5</v>
      </c>
      <c r="L23" s="16">
        <v>72695.350000000006</v>
      </c>
      <c r="M23" s="18">
        <v>12526</v>
      </c>
      <c r="N23" s="20">
        <v>46066</v>
      </c>
      <c r="O23" s="40" t="s">
        <v>46</v>
      </c>
      <c r="P23" s="51"/>
    </row>
    <row r="24" spans="1:16" ht="24.6" customHeight="1">
      <c r="A24" s="14">
        <v>22</v>
      </c>
      <c r="B24" s="19">
        <v>22</v>
      </c>
      <c r="C24" s="15" t="s">
        <v>84</v>
      </c>
      <c r="D24" s="16">
        <v>382.31</v>
      </c>
      <c r="E24" s="16">
        <v>375.51</v>
      </c>
      <c r="F24" s="17">
        <f>(D24-E24)/E24</f>
        <v>1.8108705493861711E-2</v>
      </c>
      <c r="G24" s="18">
        <v>43</v>
      </c>
      <c r="H24" s="18">
        <v>2</v>
      </c>
      <c r="I24" s="19">
        <f t="shared" si="0"/>
        <v>21.5</v>
      </c>
      <c r="J24" s="18">
        <v>2</v>
      </c>
      <c r="K24" s="19">
        <v>9</v>
      </c>
      <c r="L24" s="16">
        <v>38840.68</v>
      </c>
      <c r="M24" s="18">
        <v>6135</v>
      </c>
      <c r="N24" s="20">
        <v>46038</v>
      </c>
      <c r="O24" s="40" t="s">
        <v>207</v>
      </c>
      <c r="P24" s="51"/>
    </row>
    <row r="25" spans="1:16" ht="24.9" customHeight="1">
      <c r="A25" s="14">
        <v>23</v>
      </c>
      <c r="B25" s="19">
        <v>13</v>
      </c>
      <c r="C25" s="15" t="s">
        <v>161</v>
      </c>
      <c r="D25" s="16">
        <v>365</v>
      </c>
      <c r="E25" s="16">
        <v>3609.39</v>
      </c>
      <c r="F25" s="17">
        <f>(D25-E25)/E25</f>
        <v>-0.89887487913470143</v>
      </c>
      <c r="G25" s="18">
        <v>58</v>
      </c>
      <c r="H25" s="18">
        <v>3</v>
      </c>
      <c r="I25" s="19">
        <f t="shared" si="0"/>
        <v>19.333333333333332</v>
      </c>
      <c r="J25" s="18">
        <v>2</v>
      </c>
      <c r="K25" s="19">
        <v>3</v>
      </c>
      <c r="L25" s="16">
        <v>20722.84</v>
      </c>
      <c r="M25" s="18">
        <v>2950</v>
      </c>
      <c r="N25" s="20">
        <v>46080</v>
      </c>
      <c r="O25" s="40" t="s">
        <v>42</v>
      </c>
      <c r="P25" s="51"/>
    </row>
    <row r="26" spans="1:16" ht="24.9" customHeight="1">
      <c r="A26" s="14">
        <v>24</v>
      </c>
      <c r="B26" s="19">
        <v>12</v>
      </c>
      <c r="C26" s="15" t="s">
        <v>16</v>
      </c>
      <c r="D26" s="16">
        <v>365</v>
      </c>
      <c r="E26" s="16">
        <v>4113.33</v>
      </c>
      <c r="F26" s="17">
        <f>(D26-E26)/E26</f>
        <v>-0.91126410961435134</v>
      </c>
      <c r="G26" s="18">
        <v>50</v>
      </c>
      <c r="H26" s="18">
        <v>2</v>
      </c>
      <c r="I26" s="19">
        <f t="shared" si="0"/>
        <v>25</v>
      </c>
      <c r="J26" s="18">
        <v>1</v>
      </c>
      <c r="K26" s="19">
        <v>13</v>
      </c>
      <c r="L26" s="16">
        <v>2035580.94</v>
      </c>
      <c r="M26" s="18">
        <v>224054</v>
      </c>
      <c r="N26" s="20">
        <v>46010</v>
      </c>
      <c r="O26" s="40" t="s">
        <v>37</v>
      </c>
      <c r="P26" s="51"/>
    </row>
    <row r="27" spans="1:16" ht="24.9" customHeight="1">
      <c r="A27" s="14">
        <v>25</v>
      </c>
      <c r="B27" s="19">
        <v>21</v>
      </c>
      <c r="C27" s="15" t="s">
        <v>125</v>
      </c>
      <c r="D27" s="16">
        <v>303</v>
      </c>
      <c r="E27" s="16">
        <v>416</v>
      </c>
      <c r="F27" s="17">
        <f>(D27-E27)/E27</f>
        <v>-0.27163461538461536</v>
      </c>
      <c r="G27" s="18">
        <v>40</v>
      </c>
      <c r="H27" s="18">
        <v>2</v>
      </c>
      <c r="I27" s="19">
        <f t="shared" si="0"/>
        <v>20</v>
      </c>
      <c r="J27" s="18">
        <v>1</v>
      </c>
      <c r="K27" s="19">
        <v>5</v>
      </c>
      <c r="L27" s="16">
        <v>29383.97</v>
      </c>
      <c r="M27" s="18">
        <v>3794</v>
      </c>
      <c r="N27" s="20">
        <v>46066</v>
      </c>
      <c r="O27" s="40" t="s">
        <v>42</v>
      </c>
      <c r="P27" s="51"/>
    </row>
    <row r="28" spans="1:16" s="44" customFormat="1" ht="24.9" customHeight="1">
      <c r="A28" s="14">
        <v>26</v>
      </c>
      <c r="B28" s="19" t="s">
        <v>13</v>
      </c>
      <c r="C28" s="15" t="s">
        <v>144</v>
      </c>
      <c r="D28" s="16">
        <v>87</v>
      </c>
      <c r="E28" s="16" t="s">
        <v>13</v>
      </c>
      <c r="F28" s="17" t="s">
        <v>13</v>
      </c>
      <c r="G28" s="18">
        <v>19</v>
      </c>
      <c r="H28" s="18">
        <v>1</v>
      </c>
      <c r="I28" s="19">
        <f t="shared" si="0"/>
        <v>19</v>
      </c>
      <c r="J28" s="18">
        <v>1</v>
      </c>
      <c r="K28" s="19" t="s">
        <v>13</v>
      </c>
      <c r="L28" s="16">
        <v>68732.19</v>
      </c>
      <c r="M28" s="18">
        <v>15211</v>
      </c>
      <c r="N28" s="20">
        <v>44113</v>
      </c>
      <c r="O28" s="40" t="s">
        <v>42</v>
      </c>
      <c r="P28" s="51"/>
    </row>
    <row r="29" spans="1:16" s="44" customFormat="1" ht="24.9" customHeight="1">
      <c r="A29" s="14">
        <v>27</v>
      </c>
      <c r="B29" s="19">
        <v>19</v>
      </c>
      <c r="C29" s="15" t="s">
        <v>148</v>
      </c>
      <c r="D29" s="16">
        <v>51</v>
      </c>
      <c r="E29" s="16">
        <v>1228</v>
      </c>
      <c r="F29" s="17">
        <f>(D29-E29)/E29</f>
        <v>-0.95846905537459282</v>
      </c>
      <c r="G29" s="18">
        <v>14</v>
      </c>
      <c r="H29" s="18">
        <v>2</v>
      </c>
      <c r="I29" s="19">
        <f t="shared" si="0"/>
        <v>7</v>
      </c>
      <c r="J29" s="18">
        <v>2</v>
      </c>
      <c r="K29" s="19">
        <v>4</v>
      </c>
      <c r="L29" s="16">
        <v>18646.05</v>
      </c>
      <c r="M29" s="18">
        <v>3338</v>
      </c>
      <c r="N29" s="20">
        <v>46066</v>
      </c>
      <c r="O29" s="40" t="s">
        <v>149</v>
      </c>
      <c r="P29" s="51"/>
    </row>
    <row r="30" spans="1:16" s="44" customFormat="1" ht="24.9" customHeight="1">
      <c r="A30" s="14">
        <v>28</v>
      </c>
      <c r="B30" s="16" t="s">
        <v>13</v>
      </c>
      <c r="C30" s="15" t="s">
        <v>141</v>
      </c>
      <c r="D30" s="16">
        <v>40</v>
      </c>
      <c r="E30" s="16" t="s">
        <v>13</v>
      </c>
      <c r="F30" s="17" t="s">
        <v>13</v>
      </c>
      <c r="G30" s="18">
        <v>8</v>
      </c>
      <c r="H30" s="18">
        <v>1</v>
      </c>
      <c r="I30" s="19">
        <f t="shared" si="0"/>
        <v>8</v>
      </c>
      <c r="J30" s="18">
        <v>1</v>
      </c>
      <c r="K30" s="19" t="s">
        <v>13</v>
      </c>
      <c r="L30" s="16">
        <v>8564.42</v>
      </c>
      <c r="M30" s="18">
        <v>1281</v>
      </c>
      <c r="N30" s="20">
        <v>46073</v>
      </c>
      <c r="O30" s="40" t="s">
        <v>46</v>
      </c>
      <c r="P30" s="51"/>
    </row>
    <row r="31" spans="1:16" s="44" customFormat="1" ht="24.9" customHeight="1">
      <c r="A31" s="14">
        <v>29</v>
      </c>
      <c r="B31" s="19">
        <v>10</v>
      </c>
      <c r="C31" s="15" t="s">
        <v>78</v>
      </c>
      <c r="D31" s="16">
        <v>37</v>
      </c>
      <c r="E31" s="16">
        <v>6723.7</v>
      </c>
      <c r="F31" s="17">
        <f>(D31-E31)/E31</f>
        <v>-0.99449707750197069</v>
      </c>
      <c r="G31" s="18">
        <v>9</v>
      </c>
      <c r="H31" s="18">
        <v>1</v>
      </c>
      <c r="I31" s="19">
        <f t="shared" si="0"/>
        <v>9</v>
      </c>
      <c r="J31" s="18">
        <v>1</v>
      </c>
      <c r="K31" s="19" t="s">
        <v>13</v>
      </c>
      <c r="L31" s="16">
        <v>150454.6</v>
      </c>
      <c r="M31" s="18">
        <v>20817</v>
      </c>
      <c r="N31" s="20">
        <v>46038</v>
      </c>
      <c r="O31" s="40" t="s">
        <v>47</v>
      </c>
      <c r="P31" s="51"/>
    </row>
    <row r="32" spans="1:16" s="2" customFormat="1" ht="24.6" customHeight="1">
      <c r="A32" s="14">
        <v>30</v>
      </c>
      <c r="B32" s="16" t="s">
        <v>13</v>
      </c>
      <c r="C32" s="15" t="s">
        <v>176</v>
      </c>
      <c r="D32" s="16">
        <v>30.6</v>
      </c>
      <c r="E32" s="16" t="s">
        <v>13</v>
      </c>
      <c r="F32" s="17" t="s">
        <v>13</v>
      </c>
      <c r="G32" s="18">
        <v>6</v>
      </c>
      <c r="H32" s="18">
        <v>1</v>
      </c>
      <c r="I32" s="19">
        <f t="shared" si="0"/>
        <v>6</v>
      </c>
      <c r="J32" s="18">
        <v>1</v>
      </c>
      <c r="K32" s="19" t="s">
        <v>13</v>
      </c>
      <c r="L32" s="16">
        <v>102757.43</v>
      </c>
      <c r="M32" s="18">
        <v>21963</v>
      </c>
      <c r="N32" s="20">
        <v>44603</v>
      </c>
      <c r="O32" s="40" t="s">
        <v>42</v>
      </c>
      <c r="P32" s="51"/>
    </row>
    <row r="33" spans="1:16" ht="24.75" customHeight="1">
      <c r="A33" s="25" t="s">
        <v>14</v>
      </c>
      <c r="B33" s="50" t="s">
        <v>14</v>
      </c>
      <c r="C33" s="29" t="s">
        <v>62</v>
      </c>
      <c r="D33" s="27">
        <f>SUBTOTAL(109,Table132456789101112[Pajamos 
(GBO)])</f>
        <v>189773.18</v>
      </c>
      <c r="E33" s="27" t="s">
        <v>173</v>
      </c>
      <c r="F33" s="43">
        <f>(D33-E33)/E33</f>
        <v>-0.48550597255282579</v>
      </c>
      <c r="G33" s="34">
        <f>SUBTOTAL(109,Table132456789101112[Žiūrovų sk. 
(ADM)])</f>
        <v>25476</v>
      </c>
      <c r="H33" s="36"/>
      <c r="I33" s="25"/>
      <c r="J33" s="36"/>
      <c r="K33" s="48"/>
      <c r="L33" s="32"/>
      <c r="M33" s="36"/>
      <c r="N33" s="38"/>
      <c r="O33" s="41"/>
      <c r="P33" s="52"/>
    </row>
    <row r="34" spans="1:16"/>
    <row r="35" spans="1:16"/>
    <row r="36" spans="1:16"/>
    <row r="37" spans="1:16"/>
    <row r="38" spans="1:16"/>
    <row r="39" spans="1:16"/>
    <row r="40" spans="1:16"/>
    <row r="41" spans="1:16"/>
    <row r="42" spans="1:16"/>
    <row r="43" spans="1:16"/>
    <row r="44" spans="1:16"/>
    <row r="45" spans="1:16"/>
    <row r="46" spans="1:16"/>
    <row r="47" spans="1:16"/>
    <row r="48" spans="1:1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79FDD-380E-4DB9-A860-2EE5837C1DDF}">
  <sheetPr>
    <pageSetUpPr fitToPage="1"/>
  </sheetPr>
  <dimension ref="A1:XFC128"/>
  <sheetViews>
    <sheetView zoomScale="60" zoomScaleNormal="60" workbookViewId="0">
      <selection activeCell="O12" sqref="O12"/>
    </sheetView>
  </sheetViews>
  <sheetFormatPr defaultColWidth="0" defaultRowHeight="11.4" zeroHeight="1"/>
  <cols>
    <col min="1" max="1" width="4.75" style="1" customWidth="1"/>
    <col min="2" max="2" width="4.75" style="49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6" s="4" customFormat="1" ht="40.5" customHeight="1" thickBot="1">
      <c r="A1" s="96" t="s">
        <v>167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" customFormat="1" ht="24.6" customHeight="1">
      <c r="A3" s="7">
        <v>1</v>
      </c>
      <c r="B3" s="12" t="s">
        <v>49</v>
      </c>
      <c r="C3" s="8" t="s">
        <v>171</v>
      </c>
      <c r="D3" s="9">
        <v>78937</v>
      </c>
      <c r="E3" s="10" t="s">
        <v>13</v>
      </c>
      <c r="F3" s="10" t="s">
        <v>13</v>
      </c>
      <c r="G3" s="11">
        <v>10021</v>
      </c>
      <c r="H3" s="11">
        <v>114</v>
      </c>
      <c r="I3" s="12">
        <f>G3/H3</f>
        <v>87.903508771929822</v>
      </c>
      <c r="J3" s="10" t="s">
        <v>13</v>
      </c>
      <c r="K3" s="12">
        <v>1</v>
      </c>
      <c r="L3" s="9">
        <v>78937</v>
      </c>
      <c r="M3" s="11">
        <v>10021</v>
      </c>
      <c r="N3" s="13">
        <v>46087</v>
      </c>
      <c r="O3" s="39" t="s">
        <v>74</v>
      </c>
      <c r="P3" s="42"/>
    </row>
    <row r="4" spans="1:16" s="2" customFormat="1" ht="24.6" customHeight="1">
      <c r="A4" s="7">
        <v>2</v>
      </c>
      <c r="B4" s="12" t="s">
        <v>49</v>
      </c>
      <c r="C4" s="8" t="s">
        <v>170</v>
      </c>
      <c r="D4" s="9">
        <v>69829.320000000007</v>
      </c>
      <c r="E4" s="9" t="s">
        <v>13</v>
      </c>
      <c r="F4" s="10" t="s">
        <v>13</v>
      </c>
      <c r="G4" s="11">
        <v>11066</v>
      </c>
      <c r="H4" s="11">
        <v>175</v>
      </c>
      <c r="I4" s="12">
        <f>G4/H4</f>
        <v>63.234285714285711</v>
      </c>
      <c r="J4" s="11">
        <v>26</v>
      </c>
      <c r="K4" s="12">
        <v>1</v>
      </c>
      <c r="L4" s="9">
        <v>70944.92</v>
      </c>
      <c r="M4" s="11">
        <v>11250</v>
      </c>
      <c r="N4" s="13">
        <v>46087</v>
      </c>
      <c r="O4" s="39" t="s">
        <v>37</v>
      </c>
      <c r="P4" s="42"/>
    </row>
    <row r="5" spans="1:16" s="2" customFormat="1" ht="24.9" customHeight="1">
      <c r="A5" s="7">
        <v>3</v>
      </c>
      <c r="B5" s="12">
        <v>1</v>
      </c>
      <c r="C5" s="8" t="s">
        <v>133</v>
      </c>
      <c r="D5" s="9">
        <v>53283.17</v>
      </c>
      <c r="E5" s="9">
        <v>108317.26</v>
      </c>
      <c r="F5" s="10">
        <f>(D5-E5)/E5</f>
        <v>-0.50808236840555232</v>
      </c>
      <c r="G5" s="11">
        <v>5937</v>
      </c>
      <c r="H5" s="11">
        <v>110</v>
      </c>
      <c r="I5" s="12">
        <f>G5/H5</f>
        <v>53.972727272727276</v>
      </c>
      <c r="J5" s="11">
        <v>17</v>
      </c>
      <c r="K5" s="12">
        <v>4</v>
      </c>
      <c r="L5" s="9">
        <v>783977.5</v>
      </c>
      <c r="M5" s="11">
        <v>96655</v>
      </c>
      <c r="N5" s="13">
        <v>46066</v>
      </c>
      <c r="O5" s="39" t="s">
        <v>134</v>
      </c>
      <c r="P5" s="42"/>
    </row>
    <row r="6" spans="1:16" s="2" customFormat="1" ht="24.9" customHeight="1">
      <c r="A6" s="7">
        <v>4</v>
      </c>
      <c r="B6" s="12">
        <v>3</v>
      </c>
      <c r="C6" s="8" t="s">
        <v>131</v>
      </c>
      <c r="D6" s="9">
        <v>38279.480000000003</v>
      </c>
      <c r="E6" s="9">
        <v>54863.71</v>
      </c>
      <c r="F6" s="10">
        <f>(D6-E6)/E6</f>
        <v>-0.30228050563842651</v>
      </c>
      <c r="G6" s="11">
        <v>4707</v>
      </c>
      <c r="H6" s="9" t="s">
        <v>13</v>
      </c>
      <c r="I6" s="10" t="s">
        <v>13</v>
      </c>
      <c r="J6" s="9">
        <v>14</v>
      </c>
      <c r="K6" s="12">
        <v>3</v>
      </c>
      <c r="L6" s="9">
        <v>254079.23</v>
      </c>
      <c r="M6" s="9">
        <v>33788</v>
      </c>
      <c r="N6" s="13">
        <v>46073</v>
      </c>
      <c r="O6" s="39" t="s">
        <v>147</v>
      </c>
      <c r="P6" s="42"/>
    </row>
    <row r="7" spans="1:16" s="2" customFormat="1" ht="24.9" customHeight="1">
      <c r="A7" s="7">
        <v>5</v>
      </c>
      <c r="B7" s="12">
        <v>2</v>
      </c>
      <c r="C7" s="8" t="s">
        <v>126</v>
      </c>
      <c r="D7" s="9">
        <v>31411</v>
      </c>
      <c r="E7" s="9">
        <v>72463.34</v>
      </c>
      <c r="F7" s="10">
        <f>(D7-E7)/E7</f>
        <v>-0.56652563903347541</v>
      </c>
      <c r="G7" s="11">
        <v>4851</v>
      </c>
      <c r="H7" s="11">
        <v>97</v>
      </c>
      <c r="I7" s="12">
        <f t="shared" ref="I7:I30" si="0">G7/H7</f>
        <v>50.010309278350519</v>
      </c>
      <c r="J7" s="11">
        <v>17</v>
      </c>
      <c r="K7" s="12">
        <v>3</v>
      </c>
      <c r="L7" s="9">
        <v>229421.42</v>
      </c>
      <c r="M7" s="11">
        <v>37470</v>
      </c>
      <c r="N7" s="13">
        <v>46073</v>
      </c>
      <c r="O7" s="39" t="s">
        <v>39</v>
      </c>
      <c r="P7" s="42"/>
    </row>
    <row r="8" spans="1:16" s="2" customFormat="1" ht="24.6" customHeight="1">
      <c r="A8" s="7">
        <v>6</v>
      </c>
      <c r="B8" s="12">
        <v>4</v>
      </c>
      <c r="C8" s="8" t="s">
        <v>123</v>
      </c>
      <c r="D8" s="9">
        <v>26717.09</v>
      </c>
      <c r="E8" s="9">
        <v>47995.65</v>
      </c>
      <c r="F8" s="10">
        <f>(D8-E8)/E8</f>
        <v>-0.44334351133904842</v>
      </c>
      <c r="G8" s="11">
        <v>3381</v>
      </c>
      <c r="H8" s="11">
        <v>54</v>
      </c>
      <c r="I8" s="12">
        <f t="shared" si="0"/>
        <v>62.611111111111114</v>
      </c>
      <c r="J8" s="11">
        <v>14</v>
      </c>
      <c r="K8" s="12">
        <v>4</v>
      </c>
      <c r="L8" s="9">
        <v>480849.05</v>
      </c>
      <c r="M8" s="11">
        <v>56122</v>
      </c>
      <c r="N8" s="13">
        <v>46066</v>
      </c>
      <c r="O8" s="39" t="s">
        <v>55</v>
      </c>
      <c r="P8" s="42"/>
    </row>
    <row r="9" spans="1:16" s="2" customFormat="1" ht="24.6" customHeight="1">
      <c r="A9" s="7">
        <v>7</v>
      </c>
      <c r="B9" s="12">
        <v>5</v>
      </c>
      <c r="C9" s="8" t="s">
        <v>163</v>
      </c>
      <c r="D9" s="9">
        <v>20490.09</v>
      </c>
      <c r="E9" s="9">
        <v>45368.57</v>
      </c>
      <c r="F9" s="10">
        <f>(D9-E9)/E9</f>
        <v>-0.54836376813287258</v>
      </c>
      <c r="G9" s="11">
        <v>2430</v>
      </c>
      <c r="H9" s="11">
        <v>57</v>
      </c>
      <c r="I9" s="12">
        <f t="shared" si="0"/>
        <v>42.631578947368418</v>
      </c>
      <c r="J9" s="11">
        <v>11</v>
      </c>
      <c r="K9" s="12">
        <v>2</v>
      </c>
      <c r="L9" s="9">
        <v>84681.33</v>
      </c>
      <c r="M9" s="11">
        <v>10725</v>
      </c>
      <c r="N9" s="13">
        <v>46080</v>
      </c>
      <c r="O9" s="39" t="s">
        <v>38</v>
      </c>
      <c r="P9" s="42"/>
    </row>
    <row r="10" spans="1:16" s="2" customFormat="1" ht="24.6" customHeight="1">
      <c r="A10" s="7">
        <v>8</v>
      </c>
      <c r="B10" s="7" t="s">
        <v>49</v>
      </c>
      <c r="C10" s="8" t="s">
        <v>169</v>
      </c>
      <c r="D10" s="9">
        <v>9459.5</v>
      </c>
      <c r="E10" s="10" t="s">
        <v>13</v>
      </c>
      <c r="F10" s="10" t="s">
        <v>13</v>
      </c>
      <c r="G10" s="11">
        <v>1093</v>
      </c>
      <c r="H10" s="11">
        <v>83</v>
      </c>
      <c r="I10" s="12">
        <f t="shared" si="0"/>
        <v>13.168674698795181</v>
      </c>
      <c r="J10" s="11">
        <v>13</v>
      </c>
      <c r="K10" s="12">
        <v>1</v>
      </c>
      <c r="L10" s="9">
        <v>10879.6</v>
      </c>
      <c r="M10" s="11">
        <v>1295</v>
      </c>
      <c r="N10" s="13">
        <v>46087</v>
      </c>
      <c r="O10" s="39" t="s">
        <v>55</v>
      </c>
      <c r="P10" s="42"/>
    </row>
    <row r="11" spans="1:16" s="2" customFormat="1" ht="24.6" customHeight="1">
      <c r="A11" s="7">
        <v>9</v>
      </c>
      <c r="B11" s="12">
        <v>6</v>
      </c>
      <c r="C11" s="8" t="s">
        <v>89</v>
      </c>
      <c r="D11" s="9">
        <v>7149.43</v>
      </c>
      <c r="E11" s="9">
        <v>15939.01</v>
      </c>
      <c r="F11" s="10">
        <f>(D11-E11)/E11</f>
        <v>-0.55145081156232412</v>
      </c>
      <c r="G11" s="11">
        <v>886</v>
      </c>
      <c r="H11" s="11">
        <v>23</v>
      </c>
      <c r="I11" s="12">
        <f t="shared" si="0"/>
        <v>38.521739130434781</v>
      </c>
      <c r="J11" s="11">
        <v>7</v>
      </c>
      <c r="K11" s="12">
        <v>7</v>
      </c>
      <c r="L11" s="9">
        <v>698572.54</v>
      </c>
      <c r="M11" s="11">
        <v>86030</v>
      </c>
      <c r="N11" s="13">
        <v>46045</v>
      </c>
      <c r="O11" s="39" t="s">
        <v>42</v>
      </c>
      <c r="P11" s="42"/>
    </row>
    <row r="12" spans="1:16" s="2" customFormat="1" ht="24.9" customHeight="1">
      <c r="A12" s="7">
        <v>10</v>
      </c>
      <c r="B12" s="12" t="s">
        <v>13</v>
      </c>
      <c r="C12" s="8" t="s">
        <v>78</v>
      </c>
      <c r="D12" s="9">
        <v>6723.7</v>
      </c>
      <c r="E12" s="10" t="s">
        <v>13</v>
      </c>
      <c r="F12" s="10" t="s">
        <v>13</v>
      </c>
      <c r="G12" s="11">
        <v>930</v>
      </c>
      <c r="H12" s="11">
        <v>33</v>
      </c>
      <c r="I12" s="12">
        <f t="shared" si="0"/>
        <v>28.181818181818183</v>
      </c>
      <c r="J12" s="11">
        <v>8</v>
      </c>
      <c r="K12" s="10" t="s">
        <v>13</v>
      </c>
      <c r="L12" s="9">
        <v>148718.1</v>
      </c>
      <c r="M12" s="11">
        <v>20526</v>
      </c>
      <c r="N12" s="13">
        <v>46038</v>
      </c>
      <c r="O12" s="39" t="s">
        <v>47</v>
      </c>
      <c r="P12" s="42"/>
    </row>
    <row r="13" spans="1:16" s="2" customFormat="1" ht="24.9" customHeight="1">
      <c r="A13" s="7">
        <v>11</v>
      </c>
      <c r="B13" s="12">
        <v>7</v>
      </c>
      <c r="C13" s="8" t="s">
        <v>164</v>
      </c>
      <c r="D13" s="9">
        <v>4621.93</v>
      </c>
      <c r="E13" s="9">
        <v>11130.07</v>
      </c>
      <c r="F13" s="10">
        <f t="shared" ref="F13:F29" si="1">(D13-E13)/E13</f>
        <v>-0.58473486689661425</v>
      </c>
      <c r="G13" s="11">
        <v>628</v>
      </c>
      <c r="H13" s="11">
        <v>20</v>
      </c>
      <c r="I13" s="12">
        <f t="shared" si="0"/>
        <v>31.4</v>
      </c>
      <c r="J13" s="11">
        <v>8</v>
      </c>
      <c r="K13" s="12">
        <v>2</v>
      </c>
      <c r="L13" s="9">
        <v>22188.33</v>
      </c>
      <c r="M13" s="11">
        <v>3799</v>
      </c>
      <c r="N13" s="13">
        <v>46080</v>
      </c>
      <c r="O13" s="39" t="s">
        <v>166</v>
      </c>
      <c r="P13" s="42"/>
    </row>
    <row r="14" spans="1:16" s="2" customFormat="1" ht="24.9" customHeight="1">
      <c r="A14" s="7">
        <v>12</v>
      </c>
      <c r="B14" s="12">
        <v>10</v>
      </c>
      <c r="C14" s="8" t="s">
        <v>16</v>
      </c>
      <c r="D14" s="9">
        <v>4113.33</v>
      </c>
      <c r="E14" s="9">
        <v>7862.05</v>
      </c>
      <c r="F14" s="10">
        <f t="shared" si="1"/>
        <v>-0.47681202739743456</v>
      </c>
      <c r="G14" s="11">
        <v>511</v>
      </c>
      <c r="H14" s="11">
        <v>12</v>
      </c>
      <c r="I14" s="12">
        <f t="shared" si="0"/>
        <v>42.583333333333336</v>
      </c>
      <c r="J14" s="11">
        <v>4</v>
      </c>
      <c r="K14" s="12">
        <v>12</v>
      </c>
      <c r="L14" s="9">
        <v>2033741.19</v>
      </c>
      <c r="M14" s="11">
        <v>223816</v>
      </c>
      <c r="N14" s="13">
        <v>46010</v>
      </c>
      <c r="O14" s="39" t="s">
        <v>37</v>
      </c>
      <c r="P14" s="42"/>
    </row>
    <row r="15" spans="1:16" s="2" customFormat="1" ht="24.9" customHeight="1">
      <c r="A15" s="7">
        <v>13</v>
      </c>
      <c r="B15" s="12">
        <v>8</v>
      </c>
      <c r="C15" s="8" t="s">
        <v>161</v>
      </c>
      <c r="D15" s="9">
        <v>3609.39</v>
      </c>
      <c r="E15" s="9">
        <v>10778.72</v>
      </c>
      <c r="F15" s="10">
        <f t="shared" si="1"/>
        <v>-0.66513741891430522</v>
      </c>
      <c r="G15" s="11">
        <v>477</v>
      </c>
      <c r="H15" s="11">
        <v>13</v>
      </c>
      <c r="I15" s="12">
        <f t="shared" si="0"/>
        <v>36.692307692307693</v>
      </c>
      <c r="J15" s="11">
        <v>7</v>
      </c>
      <c r="K15" s="12">
        <v>2</v>
      </c>
      <c r="L15" s="9">
        <v>19630.84</v>
      </c>
      <c r="M15" s="11">
        <v>2751</v>
      </c>
      <c r="N15" s="13">
        <v>46080</v>
      </c>
      <c r="O15" s="39" t="s">
        <v>42</v>
      </c>
      <c r="P15" s="42"/>
    </row>
    <row r="16" spans="1:16" s="2" customFormat="1" ht="24.9" customHeight="1">
      <c r="A16" s="7">
        <v>14</v>
      </c>
      <c r="B16" s="12">
        <v>9</v>
      </c>
      <c r="C16" s="8" t="s">
        <v>18</v>
      </c>
      <c r="D16" s="23">
        <v>3596.14</v>
      </c>
      <c r="E16" s="9">
        <v>9399.92</v>
      </c>
      <c r="F16" s="10">
        <f t="shared" si="1"/>
        <v>-0.61742865896731047</v>
      </c>
      <c r="G16" s="22">
        <v>535</v>
      </c>
      <c r="H16" s="11">
        <v>19</v>
      </c>
      <c r="I16" s="12">
        <f t="shared" si="0"/>
        <v>28.157894736842106</v>
      </c>
      <c r="J16" s="11">
        <v>5</v>
      </c>
      <c r="K16" s="12">
        <v>15</v>
      </c>
      <c r="L16" s="23">
        <v>1271321.74</v>
      </c>
      <c r="M16" s="22">
        <v>202258</v>
      </c>
      <c r="N16" s="13">
        <v>45989</v>
      </c>
      <c r="O16" s="39" t="s">
        <v>37</v>
      </c>
      <c r="P16" s="42"/>
    </row>
    <row r="17" spans="1:16" s="2" customFormat="1" ht="24.6" customHeight="1">
      <c r="A17" s="7">
        <v>15</v>
      </c>
      <c r="B17" s="12">
        <v>13</v>
      </c>
      <c r="C17" s="8" t="s">
        <v>154</v>
      </c>
      <c r="D17" s="9">
        <v>2498.21</v>
      </c>
      <c r="E17" s="9">
        <v>5164.78</v>
      </c>
      <c r="F17" s="10">
        <f t="shared" si="1"/>
        <v>-0.51629885493670591</v>
      </c>
      <c r="G17" s="11">
        <v>305</v>
      </c>
      <c r="H17" s="11">
        <v>24</v>
      </c>
      <c r="I17" s="12">
        <f t="shared" si="0"/>
        <v>12.708333333333334</v>
      </c>
      <c r="J17" s="11">
        <v>3</v>
      </c>
      <c r="K17" s="12">
        <v>2</v>
      </c>
      <c r="L17" s="9">
        <v>10143.9</v>
      </c>
      <c r="M17" s="11">
        <v>1448</v>
      </c>
      <c r="N17" s="13">
        <v>46080</v>
      </c>
      <c r="O17" s="39" t="s">
        <v>155</v>
      </c>
      <c r="P17" s="42"/>
    </row>
    <row r="18" spans="1:16" s="2" customFormat="1" ht="24.9" customHeight="1">
      <c r="A18" s="7">
        <v>16</v>
      </c>
      <c r="B18" s="12">
        <v>11</v>
      </c>
      <c r="C18" s="8" t="s">
        <v>79</v>
      </c>
      <c r="D18" s="9">
        <v>1636.84</v>
      </c>
      <c r="E18" s="9">
        <v>7102.5</v>
      </c>
      <c r="F18" s="10">
        <f t="shared" si="1"/>
        <v>-0.76954030271031326</v>
      </c>
      <c r="G18" s="11">
        <v>275</v>
      </c>
      <c r="H18" s="11">
        <v>15</v>
      </c>
      <c r="I18" s="12">
        <f t="shared" si="0"/>
        <v>18.333333333333332</v>
      </c>
      <c r="J18" s="11">
        <v>6</v>
      </c>
      <c r="K18" s="12">
        <v>8</v>
      </c>
      <c r="L18" s="9">
        <v>292968.88</v>
      </c>
      <c r="M18" s="11">
        <v>51997</v>
      </c>
      <c r="N18" s="13">
        <v>46038</v>
      </c>
      <c r="O18" s="39" t="s">
        <v>42</v>
      </c>
      <c r="P18" s="42"/>
    </row>
    <row r="19" spans="1:16" s="2" customFormat="1" ht="24.9" customHeight="1">
      <c r="A19" s="7">
        <v>17</v>
      </c>
      <c r="B19" s="12">
        <v>15</v>
      </c>
      <c r="C19" s="8" t="s">
        <v>93</v>
      </c>
      <c r="D19" s="9">
        <v>1615.35</v>
      </c>
      <c r="E19" s="9">
        <v>2548.0300000000002</v>
      </c>
      <c r="F19" s="10">
        <f t="shared" si="1"/>
        <v>-0.36603964631499636</v>
      </c>
      <c r="G19" s="11">
        <v>205</v>
      </c>
      <c r="H19" s="11">
        <v>7</v>
      </c>
      <c r="I19" s="12">
        <f t="shared" si="0"/>
        <v>29.285714285714285</v>
      </c>
      <c r="J19" s="11">
        <v>3</v>
      </c>
      <c r="K19" s="12">
        <v>7</v>
      </c>
      <c r="L19" s="9">
        <v>157859.92000000001</v>
      </c>
      <c r="M19" s="11">
        <v>21901</v>
      </c>
      <c r="N19" s="13">
        <v>46045</v>
      </c>
      <c r="O19" s="39" t="s">
        <v>94</v>
      </c>
      <c r="P19" s="42"/>
    </row>
    <row r="20" spans="1:16" s="2" customFormat="1" ht="24.6" customHeight="1">
      <c r="A20" s="7">
        <v>18</v>
      </c>
      <c r="B20" s="12">
        <v>12</v>
      </c>
      <c r="C20" s="8" t="s">
        <v>135</v>
      </c>
      <c r="D20" s="9">
        <v>1322.82</v>
      </c>
      <c r="E20" s="9">
        <v>6658.65</v>
      </c>
      <c r="F20" s="10">
        <f t="shared" si="1"/>
        <v>-0.8013381090761641</v>
      </c>
      <c r="G20" s="11">
        <v>252</v>
      </c>
      <c r="H20" s="11">
        <v>16</v>
      </c>
      <c r="I20" s="12">
        <f t="shared" si="0"/>
        <v>15.75</v>
      </c>
      <c r="J20" s="11">
        <v>8</v>
      </c>
      <c r="K20" s="12">
        <v>4</v>
      </c>
      <c r="L20" s="9">
        <v>72008.05</v>
      </c>
      <c r="M20" s="11">
        <v>12405</v>
      </c>
      <c r="N20" s="13">
        <v>46066</v>
      </c>
      <c r="O20" s="39" t="s">
        <v>46</v>
      </c>
      <c r="P20" s="42"/>
    </row>
    <row r="21" spans="1:16" s="2" customFormat="1" ht="24.9" customHeight="1">
      <c r="A21" s="7">
        <v>19</v>
      </c>
      <c r="B21" s="12">
        <v>19</v>
      </c>
      <c r="C21" s="8" t="s">
        <v>148</v>
      </c>
      <c r="D21" s="9">
        <v>1228</v>
      </c>
      <c r="E21" s="9">
        <v>1549.4</v>
      </c>
      <c r="F21" s="10">
        <f t="shared" si="1"/>
        <v>-0.20743513618174783</v>
      </c>
      <c r="G21" s="11">
        <v>221</v>
      </c>
      <c r="H21" s="11">
        <v>3</v>
      </c>
      <c r="I21" s="12">
        <f t="shared" si="0"/>
        <v>73.666666666666671</v>
      </c>
      <c r="J21" s="11">
        <v>1</v>
      </c>
      <c r="K21" s="12">
        <v>3</v>
      </c>
      <c r="L21" s="9">
        <v>18394.55</v>
      </c>
      <c r="M21" s="11">
        <v>3285</v>
      </c>
      <c r="N21" s="13">
        <v>46066</v>
      </c>
      <c r="O21" s="39" t="s">
        <v>149</v>
      </c>
      <c r="P21" s="42"/>
    </row>
    <row r="22" spans="1:16" s="2" customFormat="1" ht="24.75" customHeight="1">
      <c r="A22" s="7">
        <v>20</v>
      </c>
      <c r="B22" s="12">
        <v>30</v>
      </c>
      <c r="C22" s="8" t="s">
        <v>113</v>
      </c>
      <c r="D22" s="9">
        <v>447.5</v>
      </c>
      <c r="E22" s="9">
        <v>348.81</v>
      </c>
      <c r="F22" s="10">
        <f t="shared" si="1"/>
        <v>0.28293340213870016</v>
      </c>
      <c r="G22" s="11">
        <v>70</v>
      </c>
      <c r="H22" s="11">
        <v>3</v>
      </c>
      <c r="I22" s="12">
        <f t="shared" si="0"/>
        <v>23.333333333333332</v>
      </c>
      <c r="J22" s="11">
        <v>3</v>
      </c>
      <c r="K22" s="12">
        <v>5</v>
      </c>
      <c r="L22" s="9">
        <v>33259</v>
      </c>
      <c r="M22" s="11">
        <v>5358</v>
      </c>
      <c r="N22" s="13">
        <v>46059</v>
      </c>
      <c r="O22" s="39" t="s">
        <v>119</v>
      </c>
      <c r="P22" s="42"/>
    </row>
    <row r="23" spans="1:16" ht="24.75" customHeight="1">
      <c r="A23" s="7">
        <v>21</v>
      </c>
      <c r="B23" s="12">
        <v>18</v>
      </c>
      <c r="C23" s="8" t="s">
        <v>125</v>
      </c>
      <c r="D23" s="9">
        <v>416</v>
      </c>
      <c r="E23" s="9">
        <v>1701</v>
      </c>
      <c r="F23" s="10">
        <f t="shared" si="1"/>
        <v>-0.75543797766019993</v>
      </c>
      <c r="G23" s="11">
        <v>50</v>
      </c>
      <c r="H23" s="11">
        <v>2</v>
      </c>
      <c r="I23" s="12">
        <f t="shared" si="0"/>
        <v>25</v>
      </c>
      <c r="J23" s="11">
        <v>1</v>
      </c>
      <c r="K23" s="12">
        <v>4</v>
      </c>
      <c r="L23" s="9">
        <v>29080.97</v>
      </c>
      <c r="M23" s="11">
        <v>3754</v>
      </c>
      <c r="N23" s="13">
        <v>46066</v>
      </c>
      <c r="O23" s="39" t="s">
        <v>42</v>
      </c>
      <c r="P23" s="42"/>
    </row>
    <row r="24" spans="1:16" ht="24.9" customHeight="1">
      <c r="A24" s="7">
        <v>22</v>
      </c>
      <c r="B24" s="12">
        <v>21</v>
      </c>
      <c r="C24" s="8" t="s">
        <v>84</v>
      </c>
      <c r="D24" s="9">
        <v>375.51</v>
      </c>
      <c r="E24" s="9">
        <v>1112.07</v>
      </c>
      <c r="F24" s="10">
        <f t="shared" si="1"/>
        <v>-0.66233240713264452</v>
      </c>
      <c r="G24" s="11">
        <v>63</v>
      </c>
      <c r="H24" s="11">
        <v>2</v>
      </c>
      <c r="I24" s="12">
        <f t="shared" si="0"/>
        <v>31.5</v>
      </c>
      <c r="J24" s="11">
        <v>2</v>
      </c>
      <c r="K24" s="12">
        <v>8</v>
      </c>
      <c r="L24" s="9">
        <v>38458.370000000003</v>
      </c>
      <c r="M24" s="11">
        <v>6092</v>
      </c>
      <c r="N24" s="13">
        <v>46038</v>
      </c>
      <c r="O24" s="39" t="s">
        <v>207</v>
      </c>
      <c r="P24" s="42"/>
    </row>
    <row r="25" spans="1:16" ht="24.6" customHeight="1">
      <c r="A25" s="7">
        <v>23</v>
      </c>
      <c r="B25" s="12">
        <v>25</v>
      </c>
      <c r="C25" s="8" t="s">
        <v>138</v>
      </c>
      <c r="D25" s="9">
        <v>249.5</v>
      </c>
      <c r="E25" s="9">
        <v>503.2</v>
      </c>
      <c r="F25" s="10">
        <f t="shared" si="1"/>
        <v>-0.50417329093799679</v>
      </c>
      <c r="G25" s="11">
        <v>44</v>
      </c>
      <c r="H25" s="11">
        <v>2</v>
      </c>
      <c r="I25" s="12">
        <f t="shared" si="0"/>
        <v>22</v>
      </c>
      <c r="J25" s="12">
        <v>2</v>
      </c>
      <c r="K25" s="12">
        <v>3</v>
      </c>
      <c r="L25" s="9">
        <v>5677.8499999999995</v>
      </c>
      <c r="M25" s="11">
        <v>1058</v>
      </c>
      <c r="N25" s="13">
        <v>46073</v>
      </c>
      <c r="O25" s="39" t="s">
        <v>51</v>
      </c>
      <c r="P25" s="42"/>
    </row>
    <row r="26" spans="1:16" ht="24.9" customHeight="1">
      <c r="A26" s="7">
        <v>24</v>
      </c>
      <c r="B26" s="12">
        <v>32</v>
      </c>
      <c r="C26" s="8" t="s">
        <v>50</v>
      </c>
      <c r="D26" s="9">
        <v>220</v>
      </c>
      <c r="E26" s="9">
        <v>180</v>
      </c>
      <c r="F26" s="10">
        <f t="shared" si="1"/>
        <v>0.22222222222222221</v>
      </c>
      <c r="G26" s="11">
        <v>41</v>
      </c>
      <c r="H26" s="11">
        <v>1</v>
      </c>
      <c r="I26" s="12">
        <f t="shared" si="0"/>
        <v>41</v>
      </c>
      <c r="J26" s="11">
        <v>1</v>
      </c>
      <c r="K26" s="12">
        <v>10</v>
      </c>
      <c r="L26" s="9">
        <v>50011.759999999995</v>
      </c>
      <c r="M26" s="11">
        <v>7490</v>
      </c>
      <c r="N26" s="13">
        <v>46024</v>
      </c>
      <c r="O26" s="39" t="s">
        <v>51</v>
      </c>
      <c r="P26" s="42"/>
    </row>
    <row r="27" spans="1:16" ht="24.9" customHeight="1">
      <c r="A27" s="7">
        <v>25</v>
      </c>
      <c r="B27" s="12">
        <v>17</v>
      </c>
      <c r="C27" s="8" t="s">
        <v>165</v>
      </c>
      <c r="D27" s="9">
        <v>210.79</v>
      </c>
      <c r="E27" s="9">
        <v>1837.36</v>
      </c>
      <c r="F27" s="10">
        <f t="shared" si="1"/>
        <v>-0.88527561283580791</v>
      </c>
      <c r="G27" s="11">
        <v>45</v>
      </c>
      <c r="H27" s="11">
        <v>1</v>
      </c>
      <c r="I27" s="12">
        <f t="shared" si="0"/>
        <v>45</v>
      </c>
      <c r="J27" s="11">
        <v>1</v>
      </c>
      <c r="K27" s="12">
        <v>2</v>
      </c>
      <c r="L27" s="9">
        <v>2671.87</v>
      </c>
      <c r="M27" s="11">
        <v>425</v>
      </c>
      <c r="N27" s="13">
        <v>46080</v>
      </c>
      <c r="O27" s="39" t="s">
        <v>207</v>
      </c>
      <c r="P27" s="42"/>
    </row>
    <row r="28" spans="1:16" ht="24.9" customHeight="1">
      <c r="A28" s="7">
        <v>26</v>
      </c>
      <c r="B28" s="12">
        <v>23</v>
      </c>
      <c r="C28" s="8" t="s">
        <v>156</v>
      </c>
      <c r="D28" s="9">
        <v>192.5</v>
      </c>
      <c r="E28" s="9">
        <v>641.27</v>
      </c>
      <c r="F28" s="10">
        <f t="shared" si="1"/>
        <v>-0.69981443073900229</v>
      </c>
      <c r="G28" s="11">
        <v>38</v>
      </c>
      <c r="H28" s="11">
        <v>2</v>
      </c>
      <c r="I28" s="12">
        <f t="shared" si="0"/>
        <v>19</v>
      </c>
      <c r="J28" s="11">
        <v>2</v>
      </c>
      <c r="K28" s="12">
        <v>2</v>
      </c>
      <c r="L28" s="9">
        <v>1139.57</v>
      </c>
      <c r="M28" s="11">
        <v>190</v>
      </c>
      <c r="N28" s="13">
        <v>46080</v>
      </c>
      <c r="O28" s="39" t="s">
        <v>46</v>
      </c>
      <c r="P28" s="42"/>
    </row>
    <row r="29" spans="1:16" s="44" customFormat="1" ht="24.9" customHeight="1">
      <c r="A29" s="7">
        <v>27</v>
      </c>
      <c r="B29" s="12">
        <v>20</v>
      </c>
      <c r="C29" s="8" t="s">
        <v>160</v>
      </c>
      <c r="D29" s="9">
        <v>147</v>
      </c>
      <c r="E29" s="9">
        <v>1331</v>
      </c>
      <c r="F29" s="10">
        <f t="shared" si="1"/>
        <v>-0.88955672426746812</v>
      </c>
      <c r="G29" s="11">
        <v>23</v>
      </c>
      <c r="H29" s="11">
        <v>1</v>
      </c>
      <c r="I29" s="12">
        <f t="shared" si="0"/>
        <v>23</v>
      </c>
      <c r="J29" s="11">
        <v>1</v>
      </c>
      <c r="K29" s="12">
        <v>2</v>
      </c>
      <c r="L29" s="9">
        <v>2411.5</v>
      </c>
      <c r="M29" s="11">
        <v>497</v>
      </c>
      <c r="N29" s="13">
        <v>46080</v>
      </c>
      <c r="O29" s="39" t="s">
        <v>51</v>
      </c>
      <c r="P29" s="42"/>
    </row>
    <row r="30" spans="1:16" ht="24.9" customHeight="1">
      <c r="A30" s="7">
        <v>28</v>
      </c>
      <c r="B30" s="12" t="s">
        <v>13</v>
      </c>
      <c r="C30" s="8" t="s">
        <v>128</v>
      </c>
      <c r="D30" s="9">
        <v>73.8</v>
      </c>
      <c r="E30" s="9" t="s">
        <v>13</v>
      </c>
      <c r="F30" s="10" t="s">
        <v>13</v>
      </c>
      <c r="G30" s="11">
        <v>15</v>
      </c>
      <c r="H30" s="11">
        <v>1</v>
      </c>
      <c r="I30" s="12">
        <f t="shared" si="0"/>
        <v>15</v>
      </c>
      <c r="J30" s="11">
        <v>1</v>
      </c>
      <c r="K30" s="12" t="s">
        <v>13</v>
      </c>
      <c r="L30" s="9">
        <v>56300.72</v>
      </c>
      <c r="M30" s="11">
        <v>13627</v>
      </c>
      <c r="N30" s="13">
        <v>43560</v>
      </c>
      <c r="O30" s="39" t="s">
        <v>42</v>
      </c>
      <c r="P30" s="42"/>
    </row>
    <row r="31" spans="1:16" ht="24.75" customHeight="1">
      <c r="A31" s="25" t="s">
        <v>14</v>
      </c>
      <c r="B31" s="50" t="s">
        <v>14</v>
      </c>
      <c r="C31" s="29" t="s">
        <v>172</v>
      </c>
      <c r="D31" s="27">
        <f>SUBTOTAL(109,Table1324567891011[Pajamos 
(GBO)])</f>
        <v>368854.39000000007</v>
      </c>
      <c r="E31" s="27" t="s">
        <v>168</v>
      </c>
      <c r="F31" s="43">
        <f>(D31-E31)/E31</f>
        <v>-0.12986338888050108</v>
      </c>
      <c r="G31" s="34">
        <f>SUBTOTAL(109,Table1324567891011[Žiūrovų sk. 
(ADM)])</f>
        <v>49100</v>
      </c>
      <c r="H31" s="36"/>
      <c r="I31" s="25"/>
      <c r="J31" s="36"/>
      <c r="K31" s="48"/>
      <c r="L31" s="32"/>
      <c r="M31" s="36"/>
      <c r="N31" s="38"/>
      <c r="O31" s="41"/>
      <c r="P31" s="52"/>
    </row>
    <row r="32" spans="1:16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BDA9D-5294-4892-83F3-510D2A8C1D8F}">
  <sheetPr>
    <pageSetUpPr fitToPage="1"/>
  </sheetPr>
  <dimension ref="A1:XFC121"/>
  <sheetViews>
    <sheetView zoomScale="60" zoomScaleNormal="60" workbookViewId="0">
      <selection activeCell="C26" sqref="C26"/>
    </sheetView>
  </sheetViews>
  <sheetFormatPr defaultColWidth="0" defaultRowHeight="11.4" zeroHeight="1"/>
  <cols>
    <col min="1" max="2" width="4.75" style="1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6" s="4" customFormat="1" ht="40.5" customHeight="1" thickBot="1">
      <c r="A1" s="96" t="s">
        <v>151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" customFormat="1" ht="24.6" customHeight="1">
      <c r="A3" s="7">
        <v>1</v>
      </c>
      <c r="B3" s="12">
        <v>1</v>
      </c>
      <c r="C3" s="8" t="s">
        <v>133</v>
      </c>
      <c r="D3" s="9">
        <v>108317.26</v>
      </c>
      <c r="E3" s="9">
        <v>162117.78</v>
      </c>
      <c r="F3" s="10">
        <f>(D3-E3)/E3</f>
        <v>-0.33186070028839532</v>
      </c>
      <c r="G3" s="11">
        <v>12606</v>
      </c>
      <c r="H3" s="11">
        <v>152</v>
      </c>
      <c r="I3" s="12">
        <f>G3/H3</f>
        <v>82.934210526315795</v>
      </c>
      <c r="J3" s="11">
        <v>17</v>
      </c>
      <c r="K3" s="12">
        <v>3</v>
      </c>
      <c r="L3" s="9">
        <v>704036.63</v>
      </c>
      <c r="M3" s="11">
        <v>87121</v>
      </c>
      <c r="N3" s="13">
        <v>46066</v>
      </c>
      <c r="O3" s="39" t="s">
        <v>134</v>
      </c>
      <c r="P3" s="42"/>
    </row>
    <row r="4" spans="1:16" s="2" customFormat="1" ht="24.6" customHeight="1">
      <c r="A4" s="7">
        <v>2</v>
      </c>
      <c r="B4" s="12">
        <v>2</v>
      </c>
      <c r="C4" s="8" t="s">
        <v>126</v>
      </c>
      <c r="D4" s="9">
        <v>72463.34</v>
      </c>
      <c r="E4" s="9">
        <v>92908.22</v>
      </c>
      <c r="F4" s="10">
        <f>(D4-E4)/E4</f>
        <v>-0.22005458720444762</v>
      </c>
      <c r="G4" s="11">
        <v>11610</v>
      </c>
      <c r="H4" s="11">
        <v>150</v>
      </c>
      <c r="I4" s="12">
        <f>G4/H4</f>
        <v>77.400000000000006</v>
      </c>
      <c r="J4" s="11">
        <v>20</v>
      </c>
      <c r="K4" s="12">
        <v>2</v>
      </c>
      <c r="L4" s="9">
        <v>188299.57</v>
      </c>
      <c r="M4" s="11">
        <v>30880</v>
      </c>
      <c r="N4" s="13">
        <v>46073</v>
      </c>
      <c r="O4" s="39" t="s">
        <v>39</v>
      </c>
      <c r="P4" s="42"/>
    </row>
    <row r="5" spans="1:16" s="2" customFormat="1" ht="24.9" customHeight="1">
      <c r="A5" s="7">
        <v>3</v>
      </c>
      <c r="B5" s="12">
        <v>3</v>
      </c>
      <c r="C5" s="8" t="s">
        <v>131</v>
      </c>
      <c r="D5" s="9">
        <v>54863.71</v>
      </c>
      <c r="E5" s="9">
        <v>79428.13</v>
      </c>
      <c r="F5" s="10">
        <f>(D5-E5)/E5</f>
        <v>-0.30926599933801796</v>
      </c>
      <c r="G5" s="11">
        <v>7235</v>
      </c>
      <c r="H5" s="10" t="s">
        <v>13</v>
      </c>
      <c r="I5" s="10" t="s">
        <v>13</v>
      </c>
      <c r="J5" s="11">
        <v>15</v>
      </c>
      <c r="K5" s="12">
        <v>2</v>
      </c>
      <c r="L5" s="9">
        <v>189865.21</v>
      </c>
      <c r="M5" s="11">
        <v>25309</v>
      </c>
      <c r="N5" s="13">
        <v>46073</v>
      </c>
      <c r="O5" s="39" t="s">
        <v>147</v>
      </c>
      <c r="P5" s="42"/>
    </row>
    <row r="6" spans="1:16" s="2" customFormat="1" ht="24.9" customHeight="1">
      <c r="A6" s="7">
        <v>4</v>
      </c>
      <c r="B6" s="12">
        <v>4</v>
      </c>
      <c r="C6" s="8" t="s">
        <v>123</v>
      </c>
      <c r="D6" s="9">
        <v>47995.65</v>
      </c>
      <c r="E6" s="9">
        <v>75108.98</v>
      </c>
      <c r="F6" s="10">
        <f>(D6-E6)/E6</f>
        <v>-0.36098652917400814</v>
      </c>
      <c r="G6" s="11">
        <v>5641</v>
      </c>
      <c r="H6" s="11">
        <v>84</v>
      </c>
      <c r="I6" s="12">
        <f t="shared" ref="I6:I15" si="0">G6/H6</f>
        <v>67.154761904761898</v>
      </c>
      <c r="J6" s="11">
        <v>14</v>
      </c>
      <c r="K6" s="12">
        <v>3</v>
      </c>
      <c r="L6" s="9">
        <v>430799.6</v>
      </c>
      <c r="M6" s="11">
        <v>49267</v>
      </c>
      <c r="N6" s="13">
        <v>46066</v>
      </c>
      <c r="O6" s="39" t="s">
        <v>55</v>
      </c>
      <c r="P6" s="42"/>
    </row>
    <row r="7" spans="1:16" s="2" customFormat="1" ht="24.9" customHeight="1">
      <c r="A7" s="7">
        <v>5</v>
      </c>
      <c r="B7" s="12" t="s">
        <v>49</v>
      </c>
      <c r="C7" s="8" t="s">
        <v>163</v>
      </c>
      <c r="D7" s="9">
        <v>45368.57</v>
      </c>
      <c r="E7" s="9" t="s">
        <v>13</v>
      </c>
      <c r="F7" s="10" t="s">
        <v>13</v>
      </c>
      <c r="G7" s="11">
        <v>5587</v>
      </c>
      <c r="H7" s="11">
        <v>104</v>
      </c>
      <c r="I7" s="12">
        <f t="shared" si="0"/>
        <v>53.721153846153847</v>
      </c>
      <c r="J7" s="11">
        <v>18</v>
      </c>
      <c r="K7" s="12">
        <v>1</v>
      </c>
      <c r="L7" s="9">
        <v>51745.03</v>
      </c>
      <c r="M7" s="11">
        <v>6390</v>
      </c>
      <c r="N7" s="13">
        <v>46080</v>
      </c>
      <c r="O7" s="39" t="s">
        <v>38</v>
      </c>
      <c r="P7" s="42"/>
    </row>
    <row r="8" spans="1:16" s="2" customFormat="1" ht="24.6" customHeight="1">
      <c r="A8" s="7">
        <v>6</v>
      </c>
      <c r="B8" s="12">
        <v>5</v>
      </c>
      <c r="C8" s="8" t="s">
        <v>89</v>
      </c>
      <c r="D8" s="9">
        <v>15939.01</v>
      </c>
      <c r="E8" s="9">
        <v>27326.61</v>
      </c>
      <c r="F8" s="10">
        <f>(D8-E8)/E8</f>
        <v>-0.41672201564701949</v>
      </c>
      <c r="G8" s="11">
        <v>2004</v>
      </c>
      <c r="H8" s="11">
        <v>47</v>
      </c>
      <c r="I8" s="12">
        <f t="shared" si="0"/>
        <v>42.638297872340424</v>
      </c>
      <c r="J8" s="11">
        <v>8</v>
      </c>
      <c r="K8" s="12">
        <v>6</v>
      </c>
      <c r="L8" s="9">
        <v>686553.58</v>
      </c>
      <c r="M8" s="11">
        <v>84382</v>
      </c>
      <c r="N8" s="13">
        <v>46045</v>
      </c>
      <c r="O8" s="39" t="s">
        <v>42</v>
      </c>
      <c r="P8" s="42"/>
    </row>
    <row r="9" spans="1:16" s="2" customFormat="1" ht="24.6" customHeight="1">
      <c r="A9" s="7">
        <v>7</v>
      </c>
      <c r="B9" s="12" t="s">
        <v>49</v>
      </c>
      <c r="C9" s="8" t="s">
        <v>164</v>
      </c>
      <c r="D9" s="9">
        <v>11130.07</v>
      </c>
      <c r="E9" s="9" t="s">
        <v>13</v>
      </c>
      <c r="F9" s="10" t="s">
        <v>13</v>
      </c>
      <c r="G9" s="11">
        <v>1649</v>
      </c>
      <c r="H9" s="11">
        <v>54</v>
      </c>
      <c r="I9" s="12">
        <f t="shared" si="0"/>
        <v>30.537037037037038</v>
      </c>
      <c r="J9" s="11">
        <v>17</v>
      </c>
      <c r="K9" s="12">
        <v>1</v>
      </c>
      <c r="L9" s="9">
        <v>11971.69</v>
      </c>
      <c r="M9" s="11">
        <v>2143</v>
      </c>
      <c r="N9" s="13">
        <v>46080</v>
      </c>
      <c r="O9" s="39" t="s">
        <v>166</v>
      </c>
      <c r="P9" s="42"/>
    </row>
    <row r="10" spans="1:16" s="2" customFormat="1" ht="24.6" customHeight="1">
      <c r="A10" s="7">
        <v>8</v>
      </c>
      <c r="B10" s="12" t="s">
        <v>49</v>
      </c>
      <c r="C10" s="8" t="s">
        <v>161</v>
      </c>
      <c r="D10" s="9">
        <v>10778.72</v>
      </c>
      <c r="E10" s="9" t="s">
        <v>13</v>
      </c>
      <c r="F10" s="10" t="s">
        <v>13</v>
      </c>
      <c r="G10" s="11">
        <v>1454</v>
      </c>
      <c r="H10" s="11">
        <v>54</v>
      </c>
      <c r="I10" s="12">
        <f t="shared" si="0"/>
        <v>26.925925925925927</v>
      </c>
      <c r="J10" s="11">
        <v>15</v>
      </c>
      <c r="K10" s="12">
        <v>1</v>
      </c>
      <c r="L10" s="9">
        <v>11570.19</v>
      </c>
      <c r="M10" s="11">
        <v>1564</v>
      </c>
      <c r="N10" s="13">
        <v>46080</v>
      </c>
      <c r="O10" s="39" t="s">
        <v>42</v>
      </c>
      <c r="P10" s="42"/>
    </row>
    <row r="11" spans="1:16" s="2" customFormat="1" ht="24.6" customHeight="1">
      <c r="A11" s="7">
        <v>9</v>
      </c>
      <c r="B11" s="12">
        <v>6</v>
      </c>
      <c r="C11" s="8" t="s">
        <v>18</v>
      </c>
      <c r="D11" s="23">
        <v>9399.92</v>
      </c>
      <c r="E11" s="9">
        <v>15852.4</v>
      </c>
      <c r="F11" s="10">
        <f>(D11-E11)/E11</f>
        <v>-0.40703489692412503</v>
      </c>
      <c r="G11" s="22">
        <v>1463</v>
      </c>
      <c r="H11" s="11">
        <v>32</v>
      </c>
      <c r="I11" s="12">
        <f t="shared" si="0"/>
        <v>45.71875</v>
      </c>
      <c r="J11" s="11">
        <v>10</v>
      </c>
      <c r="K11" s="12">
        <v>14</v>
      </c>
      <c r="L11" s="23">
        <v>1266882.8700000001</v>
      </c>
      <c r="M11" s="22">
        <v>201573</v>
      </c>
      <c r="N11" s="13">
        <v>45989</v>
      </c>
      <c r="O11" s="39" t="s">
        <v>37</v>
      </c>
      <c r="P11" s="42"/>
    </row>
    <row r="12" spans="1:16" s="2" customFormat="1" ht="24.9" customHeight="1">
      <c r="A12" s="7">
        <v>10</v>
      </c>
      <c r="B12" s="12">
        <v>7</v>
      </c>
      <c r="C12" s="8" t="s">
        <v>16</v>
      </c>
      <c r="D12" s="9">
        <v>7862.05</v>
      </c>
      <c r="E12" s="9">
        <v>14258.2</v>
      </c>
      <c r="F12" s="10">
        <f>(D12-E12)/E12</f>
        <v>-0.44859449299350551</v>
      </c>
      <c r="G12" s="11">
        <v>901</v>
      </c>
      <c r="H12" s="11">
        <v>16</v>
      </c>
      <c r="I12" s="12">
        <f t="shared" si="0"/>
        <v>56.3125</v>
      </c>
      <c r="J12" s="11">
        <v>5</v>
      </c>
      <c r="K12" s="12">
        <v>11</v>
      </c>
      <c r="L12" s="9">
        <v>2028512.17</v>
      </c>
      <c r="M12" s="11">
        <v>223157</v>
      </c>
      <c r="N12" s="13">
        <v>46010</v>
      </c>
      <c r="O12" s="39" t="s">
        <v>37</v>
      </c>
      <c r="P12" s="42"/>
    </row>
    <row r="13" spans="1:16" s="2" customFormat="1" ht="24.9" customHeight="1">
      <c r="A13" s="7">
        <v>11</v>
      </c>
      <c r="B13" s="12">
        <v>8</v>
      </c>
      <c r="C13" s="8" t="s">
        <v>79</v>
      </c>
      <c r="D13" s="9">
        <v>7102.5</v>
      </c>
      <c r="E13" s="9">
        <v>13781.76</v>
      </c>
      <c r="F13" s="10">
        <f>(D13-E13)/E13</f>
        <v>-0.48464492198383952</v>
      </c>
      <c r="G13" s="11">
        <v>1330</v>
      </c>
      <c r="H13" s="11">
        <v>47</v>
      </c>
      <c r="I13" s="12">
        <f t="shared" si="0"/>
        <v>28.297872340425531</v>
      </c>
      <c r="J13" s="11">
        <v>15</v>
      </c>
      <c r="K13" s="12">
        <v>7</v>
      </c>
      <c r="L13" s="9">
        <v>288316.49</v>
      </c>
      <c r="M13" s="11">
        <v>51030</v>
      </c>
      <c r="N13" s="13">
        <v>46038</v>
      </c>
      <c r="O13" s="39" t="s">
        <v>42</v>
      </c>
      <c r="P13" s="42"/>
    </row>
    <row r="14" spans="1:16" s="21" customFormat="1" ht="24.9" customHeight="1">
      <c r="A14" s="7">
        <v>12</v>
      </c>
      <c r="B14" s="12">
        <v>9</v>
      </c>
      <c r="C14" s="8" t="s">
        <v>135</v>
      </c>
      <c r="D14" s="9">
        <v>6658.65</v>
      </c>
      <c r="E14" s="9">
        <v>12443.25</v>
      </c>
      <c r="F14" s="10">
        <f>(D14-E14)/E14</f>
        <v>-0.46487854861069255</v>
      </c>
      <c r="G14" s="11">
        <v>1132</v>
      </c>
      <c r="H14" s="11">
        <v>37</v>
      </c>
      <c r="I14" s="12">
        <f t="shared" si="0"/>
        <v>30.594594594594593</v>
      </c>
      <c r="J14" s="11">
        <v>13</v>
      </c>
      <c r="K14" s="12">
        <v>3</v>
      </c>
      <c r="L14" s="9">
        <v>70021.03</v>
      </c>
      <c r="M14" s="11">
        <v>12016</v>
      </c>
      <c r="N14" s="13">
        <v>46066</v>
      </c>
      <c r="O14" s="39" t="s">
        <v>46</v>
      </c>
      <c r="P14" s="42"/>
    </row>
    <row r="15" spans="1:16" s="2" customFormat="1" ht="24.9" customHeight="1">
      <c r="A15" s="7">
        <v>13</v>
      </c>
      <c r="B15" s="12" t="s">
        <v>49</v>
      </c>
      <c r="C15" s="8" t="s">
        <v>154</v>
      </c>
      <c r="D15" s="9">
        <v>5164.78</v>
      </c>
      <c r="E15" s="9" t="s">
        <v>13</v>
      </c>
      <c r="F15" s="10" t="s">
        <v>13</v>
      </c>
      <c r="G15" s="11">
        <v>652</v>
      </c>
      <c r="H15" s="11">
        <v>24</v>
      </c>
      <c r="I15" s="12">
        <f t="shared" si="0"/>
        <v>27.166666666666668</v>
      </c>
      <c r="J15" s="11">
        <v>5</v>
      </c>
      <c r="K15" s="12">
        <v>1</v>
      </c>
      <c r="L15" s="9">
        <v>5164.78</v>
      </c>
      <c r="M15" s="11">
        <v>652</v>
      </c>
      <c r="N15" s="13">
        <v>46080</v>
      </c>
      <c r="O15" s="39" t="s">
        <v>155</v>
      </c>
      <c r="P15" s="42"/>
    </row>
    <row r="16" spans="1:16" s="2" customFormat="1" ht="24.9" customHeight="1">
      <c r="A16" s="7">
        <v>14</v>
      </c>
      <c r="B16" s="12">
        <v>10</v>
      </c>
      <c r="C16" s="8" t="s">
        <v>104</v>
      </c>
      <c r="D16" s="9">
        <v>3008.05</v>
      </c>
      <c r="E16" s="9">
        <v>9481.4699999999993</v>
      </c>
      <c r="F16" s="10">
        <f>(D16-E16)/E16</f>
        <v>-0.68274434238572712</v>
      </c>
      <c r="G16" s="11">
        <v>401</v>
      </c>
      <c r="H16" s="10" t="s">
        <v>13</v>
      </c>
      <c r="I16" s="10" t="s">
        <v>13</v>
      </c>
      <c r="J16" s="11">
        <v>5</v>
      </c>
      <c r="K16" s="12">
        <v>5</v>
      </c>
      <c r="L16" s="9">
        <v>208103.83570000003</v>
      </c>
      <c r="M16" s="11">
        <v>27683</v>
      </c>
      <c r="N16" s="13">
        <v>46052</v>
      </c>
      <c r="O16" s="39" t="s">
        <v>41</v>
      </c>
      <c r="P16" s="42"/>
    </row>
    <row r="17" spans="1:16" s="2" customFormat="1" ht="24.9" customHeight="1">
      <c r="A17" s="7">
        <v>15</v>
      </c>
      <c r="B17" s="12">
        <v>14</v>
      </c>
      <c r="C17" s="8" t="s">
        <v>93</v>
      </c>
      <c r="D17" s="9">
        <v>2548.0300000000002</v>
      </c>
      <c r="E17" s="9">
        <v>4959.8500000000004</v>
      </c>
      <c r="F17" s="10">
        <f>(D17-E17)/E17</f>
        <v>-0.48626873796586589</v>
      </c>
      <c r="G17" s="11">
        <v>319</v>
      </c>
      <c r="H17" s="11">
        <v>9</v>
      </c>
      <c r="I17" s="12">
        <f t="shared" ref="I17:I34" si="1">G17/H17</f>
        <v>35.444444444444443</v>
      </c>
      <c r="J17" s="11">
        <v>4</v>
      </c>
      <c r="K17" s="12">
        <v>6</v>
      </c>
      <c r="L17" s="9">
        <v>155128.56</v>
      </c>
      <c r="M17" s="11">
        <v>21534</v>
      </c>
      <c r="N17" s="13">
        <v>46045</v>
      </c>
      <c r="O17" s="39" t="s">
        <v>94</v>
      </c>
      <c r="P17" s="42"/>
    </row>
    <row r="18" spans="1:16" s="2" customFormat="1" ht="24.9" customHeight="1">
      <c r="A18" s="7">
        <v>16</v>
      </c>
      <c r="B18" s="12">
        <v>11</v>
      </c>
      <c r="C18" s="8" t="s">
        <v>71</v>
      </c>
      <c r="D18" s="9">
        <v>2322</v>
      </c>
      <c r="E18" s="9">
        <v>7913</v>
      </c>
      <c r="F18" s="10">
        <f>(D18-E18)/E18</f>
        <v>-0.70655882724630359</v>
      </c>
      <c r="G18" s="11">
        <v>297</v>
      </c>
      <c r="H18" s="11">
        <v>40</v>
      </c>
      <c r="I18" s="12">
        <f t="shared" si="1"/>
        <v>7.4249999999999998</v>
      </c>
      <c r="J18" s="11">
        <v>22</v>
      </c>
      <c r="K18" s="12">
        <v>8</v>
      </c>
      <c r="L18" s="9">
        <v>846785</v>
      </c>
      <c r="M18" s="11">
        <v>112287</v>
      </c>
      <c r="N18" s="13">
        <v>46031</v>
      </c>
      <c r="O18" s="39" t="s">
        <v>74</v>
      </c>
      <c r="P18" s="42"/>
    </row>
    <row r="19" spans="1:16" s="21" customFormat="1" ht="24.9" customHeight="1">
      <c r="A19" s="7">
        <v>17</v>
      </c>
      <c r="B19" s="12" t="s">
        <v>49</v>
      </c>
      <c r="C19" s="8" t="s">
        <v>165</v>
      </c>
      <c r="D19" s="9">
        <v>1837.36</v>
      </c>
      <c r="E19" s="9" t="s">
        <v>13</v>
      </c>
      <c r="F19" s="10" t="s">
        <v>13</v>
      </c>
      <c r="G19" s="11">
        <v>270</v>
      </c>
      <c r="H19" s="11">
        <v>17</v>
      </c>
      <c r="I19" s="12">
        <f t="shared" si="1"/>
        <v>15.882352941176471</v>
      </c>
      <c r="J19" s="11">
        <v>10</v>
      </c>
      <c r="K19" s="12">
        <v>1</v>
      </c>
      <c r="L19" s="9">
        <v>1837.36</v>
      </c>
      <c r="M19" s="11">
        <v>270</v>
      </c>
      <c r="N19" s="13">
        <v>46080</v>
      </c>
      <c r="O19" s="39" t="s">
        <v>207</v>
      </c>
      <c r="P19" s="42"/>
    </row>
    <row r="20" spans="1:16" s="2" customFormat="1" ht="24.9" customHeight="1">
      <c r="A20" s="7">
        <v>18</v>
      </c>
      <c r="B20" s="12">
        <v>16</v>
      </c>
      <c r="C20" s="8" t="s">
        <v>125</v>
      </c>
      <c r="D20" s="9">
        <v>1701</v>
      </c>
      <c r="E20" s="9">
        <v>4200.26</v>
      </c>
      <c r="F20" s="10">
        <f>(D20-E20)/E20</f>
        <v>-0.59502506987662673</v>
      </c>
      <c r="G20" s="11">
        <v>209</v>
      </c>
      <c r="H20" s="11">
        <v>6</v>
      </c>
      <c r="I20" s="12">
        <f t="shared" si="1"/>
        <v>34.833333333333336</v>
      </c>
      <c r="J20" s="11">
        <v>3</v>
      </c>
      <c r="K20" s="12">
        <v>3</v>
      </c>
      <c r="L20" s="9">
        <v>28347.87</v>
      </c>
      <c r="M20" s="11">
        <v>3659</v>
      </c>
      <c r="N20" s="13">
        <v>46066</v>
      </c>
      <c r="O20" s="39" t="s">
        <v>42</v>
      </c>
      <c r="P20" s="42"/>
    </row>
    <row r="21" spans="1:16" s="21" customFormat="1" ht="24.9" customHeight="1">
      <c r="A21" s="7">
        <v>19</v>
      </c>
      <c r="B21" s="12">
        <v>20</v>
      </c>
      <c r="C21" s="8" t="s">
        <v>148</v>
      </c>
      <c r="D21" s="9">
        <v>1549.4</v>
      </c>
      <c r="E21" s="9">
        <v>1955</v>
      </c>
      <c r="F21" s="10">
        <f>(D21-E21)/E21</f>
        <v>-0.20746803069053704</v>
      </c>
      <c r="G21" s="11">
        <v>267</v>
      </c>
      <c r="H21" s="11">
        <v>13</v>
      </c>
      <c r="I21" s="12">
        <f t="shared" si="1"/>
        <v>20.53846153846154</v>
      </c>
      <c r="J21" s="11">
        <v>9</v>
      </c>
      <c r="K21" s="12">
        <v>2</v>
      </c>
      <c r="L21" s="9">
        <v>16160.05</v>
      </c>
      <c r="M21" s="11">
        <v>2801</v>
      </c>
      <c r="N21" s="13">
        <v>46066</v>
      </c>
      <c r="O21" s="39" t="s">
        <v>149</v>
      </c>
      <c r="P21" s="42"/>
    </row>
    <row r="22" spans="1:16" s="2" customFormat="1" ht="24.75" customHeight="1">
      <c r="A22" s="7">
        <v>20</v>
      </c>
      <c r="B22" s="12" t="s">
        <v>49</v>
      </c>
      <c r="C22" s="8" t="s">
        <v>160</v>
      </c>
      <c r="D22" s="9">
        <v>1331</v>
      </c>
      <c r="E22" s="9" t="s">
        <v>13</v>
      </c>
      <c r="F22" s="10" t="s">
        <v>13</v>
      </c>
      <c r="G22" s="11">
        <v>319</v>
      </c>
      <c r="H22" s="11">
        <v>12</v>
      </c>
      <c r="I22" s="12">
        <f t="shared" si="1"/>
        <v>26.583333333333332</v>
      </c>
      <c r="J22" s="11">
        <v>6</v>
      </c>
      <c r="K22" s="12">
        <v>1</v>
      </c>
      <c r="L22" s="9">
        <v>1331</v>
      </c>
      <c r="M22" s="11">
        <v>319</v>
      </c>
      <c r="N22" s="13">
        <v>46080</v>
      </c>
      <c r="O22" s="39" t="s">
        <v>51</v>
      </c>
      <c r="P22" s="42"/>
    </row>
    <row r="23" spans="1:16" ht="24.75" customHeight="1">
      <c r="A23" s="7">
        <v>21</v>
      </c>
      <c r="B23" s="12">
        <v>26</v>
      </c>
      <c r="C23" s="8" t="s">
        <v>84</v>
      </c>
      <c r="D23" s="9">
        <v>1112.07</v>
      </c>
      <c r="E23" s="9">
        <v>714.35</v>
      </c>
      <c r="F23" s="10">
        <f>(D23-E23)/E23</f>
        <v>0.55675789178973878</v>
      </c>
      <c r="G23" s="11">
        <v>163</v>
      </c>
      <c r="H23" s="11">
        <v>6</v>
      </c>
      <c r="I23" s="12">
        <f t="shared" si="1"/>
        <v>27.166666666666668</v>
      </c>
      <c r="J23" s="11">
        <v>3</v>
      </c>
      <c r="K23" s="12">
        <v>7</v>
      </c>
      <c r="L23" s="9">
        <v>37717.32</v>
      </c>
      <c r="M23" s="11">
        <v>5970</v>
      </c>
      <c r="N23" s="13">
        <v>46038</v>
      </c>
      <c r="O23" s="39" t="s">
        <v>207</v>
      </c>
      <c r="P23" s="42"/>
    </row>
    <row r="24" spans="1:16" ht="24.9" customHeight="1">
      <c r="A24" s="7">
        <v>22</v>
      </c>
      <c r="B24" s="12">
        <v>24</v>
      </c>
      <c r="C24" s="8" t="s">
        <v>117</v>
      </c>
      <c r="D24" s="9">
        <v>971.25</v>
      </c>
      <c r="E24" s="9">
        <v>889.15</v>
      </c>
      <c r="F24" s="10">
        <f>(D24-E24)/E24</f>
        <v>9.2335376483158094E-2</v>
      </c>
      <c r="G24" s="11">
        <v>132</v>
      </c>
      <c r="H24" s="11">
        <v>3</v>
      </c>
      <c r="I24" s="12">
        <f t="shared" si="1"/>
        <v>44</v>
      </c>
      <c r="J24" s="11">
        <v>3</v>
      </c>
      <c r="K24" s="12">
        <v>4</v>
      </c>
      <c r="L24" s="9">
        <v>13798.74</v>
      </c>
      <c r="M24" s="11">
        <v>1974</v>
      </c>
      <c r="N24" s="13">
        <v>46059</v>
      </c>
      <c r="O24" s="39" t="s">
        <v>51</v>
      </c>
      <c r="P24" s="42"/>
    </row>
    <row r="25" spans="1:16" ht="24.6" customHeight="1">
      <c r="A25" s="7">
        <v>23</v>
      </c>
      <c r="B25" s="12" t="s">
        <v>49</v>
      </c>
      <c r="C25" s="8" t="s">
        <v>156</v>
      </c>
      <c r="D25" s="9">
        <v>641.27</v>
      </c>
      <c r="E25" s="9" t="s">
        <v>13</v>
      </c>
      <c r="F25" s="10" t="s">
        <v>13</v>
      </c>
      <c r="G25" s="11">
        <v>97</v>
      </c>
      <c r="H25" s="11">
        <v>12</v>
      </c>
      <c r="I25" s="12">
        <f t="shared" si="1"/>
        <v>8.0833333333333339</v>
      </c>
      <c r="J25" s="11">
        <v>7</v>
      </c>
      <c r="K25" s="12">
        <v>1</v>
      </c>
      <c r="L25" s="9">
        <v>641.27</v>
      </c>
      <c r="M25" s="11">
        <v>97</v>
      </c>
      <c r="N25" s="13">
        <v>46080</v>
      </c>
      <c r="O25" s="39" t="s">
        <v>46</v>
      </c>
      <c r="P25" s="42"/>
    </row>
    <row r="26" spans="1:16" ht="24.9" customHeight="1">
      <c r="A26" s="7">
        <v>24</v>
      </c>
      <c r="B26" s="12">
        <v>21</v>
      </c>
      <c r="C26" s="8" t="s">
        <v>140</v>
      </c>
      <c r="D26" s="9">
        <v>507.8</v>
      </c>
      <c r="E26" s="9">
        <v>1947.12</v>
      </c>
      <c r="F26" s="10">
        <f>(D26-E26)/E26</f>
        <v>-0.73920456879904684</v>
      </c>
      <c r="G26" s="11">
        <v>87</v>
      </c>
      <c r="H26" s="11">
        <v>5</v>
      </c>
      <c r="I26" s="12">
        <f t="shared" si="1"/>
        <v>17.399999999999999</v>
      </c>
      <c r="J26" s="11">
        <v>4</v>
      </c>
      <c r="K26" s="12">
        <v>2</v>
      </c>
      <c r="L26" s="9">
        <v>7293.72</v>
      </c>
      <c r="M26" s="11">
        <v>1014</v>
      </c>
      <c r="N26" s="13">
        <v>46073</v>
      </c>
      <c r="O26" s="39" t="s">
        <v>86</v>
      </c>
      <c r="P26" s="42"/>
    </row>
    <row r="27" spans="1:16" s="44" customFormat="1" ht="24.9" customHeight="1">
      <c r="A27" s="7">
        <v>25</v>
      </c>
      <c r="B27" s="12">
        <v>15</v>
      </c>
      <c r="C27" s="8" t="s">
        <v>138</v>
      </c>
      <c r="D27" s="9">
        <v>503.2</v>
      </c>
      <c r="E27" s="9">
        <v>4224.3</v>
      </c>
      <c r="F27" s="10">
        <f>(D27-E27)/E27</f>
        <v>-0.88087967237175391</v>
      </c>
      <c r="G27" s="11">
        <v>98</v>
      </c>
      <c r="H27" s="11">
        <v>3</v>
      </c>
      <c r="I27" s="12">
        <f t="shared" si="1"/>
        <v>32.666666666666664</v>
      </c>
      <c r="J27" s="11">
        <v>3</v>
      </c>
      <c r="K27" s="12">
        <v>2</v>
      </c>
      <c r="L27" s="9">
        <v>5351.4</v>
      </c>
      <c r="M27" s="11">
        <v>1002</v>
      </c>
      <c r="N27" s="13">
        <v>46073</v>
      </c>
      <c r="O27" s="39" t="s">
        <v>51</v>
      </c>
      <c r="P27" s="42"/>
    </row>
    <row r="28" spans="1:16" ht="24.9" customHeight="1">
      <c r="A28" s="7">
        <v>26</v>
      </c>
      <c r="B28" s="12" t="s">
        <v>49</v>
      </c>
      <c r="C28" s="8" t="s">
        <v>158</v>
      </c>
      <c r="D28" s="9">
        <v>459</v>
      </c>
      <c r="E28" s="9" t="s">
        <v>13</v>
      </c>
      <c r="F28" s="10" t="s">
        <v>13</v>
      </c>
      <c r="G28" s="11">
        <v>75</v>
      </c>
      <c r="H28" s="11">
        <v>5</v>
      </c>
      <c r="I28" s="12">
        <f t="shared" si="1"/>
        <v>15</v>
      </c>
      <c r="J28" s="11">
        <v>1</v>
      </c>
      <c r="K28" s="12">
        <v>1</v>
      </c>
      <c r="L28" s="9">
        <v>2050.4</v>
      </c>
      <c r="M28" s="11">
        <v>314</v>
      </c>
      <c r="N28" s="13">
        <v>46077</v>
      </c>
      <c r="O28" s="39" t="s">
        <v>159</v>
      </c>
      <c r="P28" s="42"/>
    </row>
    <row r="29" spans="1:16" s="44" customFormat="1" ht="24.9" customHeight="1">
      <c r="A29" s="7">
        <v>27</v>
      </c>
      <c r="B29" s="12">
        <v>23</v>
      </c>
      <c r="C29" s="8" t="s">
        <v>116</v>
      </c>
      <c r="D29" s="9">
        <v>455.6</v>
      </c>
      <c r="E29" s="9">
        <v>889.5</v>
      </c>
      <c r="F29" s="10">
        <f>(D29-E29)/E29</f>
        <v>-0.48780213603147832</v>
      </c>
      <c r="G29" s="11">
        <v>83</v>
      </c>
      <c r="H29" s="11">
        <v>7</v>
      </c>
      <c r="I29" s="12">
        <f t="shared" si="1"/>
        <v>11.857142857142858</v>
      </c>
      <c r="J29" s="11">
        <v>4</v>
      </c>
      <c r="K29" s="12">
        <v>4</v>
      </c>
      <c r="L29" s="9">
        <v>39775.85</v>
      </c>
      <c r="M29" s="11">
        <v>6985</v>
      </c>
      <c r="N29" s="13">
        <v>46059</v>
      </c>
      <c r="O29" s="39" t="s">
        <v>42</v>
      </c>
      <c r="P29" s="42"/>
    </row>
    <row r="30" spans="1:16" ht="24.9" customHeight="1">
      <c r="A30" s="7">
        <v>28</v>
      </c>
      <c r="B30" s="12">
        <v>13</v>
      </c>
      <c r="C30" s="8" t="s">
        <v>141</v>
      </c>
      <c r="D30" s="9">
        <v>361.34</v>
      </c>
      <c r="E30" s="9">
        <v>5511.49</v>
      </c>
      <c r="F30" s="10">
        <f>(D30-E30)/E30</f>
        <v>-0.93443878152731841</v>
      </c>
      <c r="G30" s="11">
        <v>50</v>
      </c>
      <c r="H30" s="11">
        <v>2</v>
      </c>
      <c r="I30" s="12">
        <f t="shared" si="1"/>
        <v>25</v>
      </c>
      <c r="J30" s="11">
        <v>2</v>
      </c>
      <c r="K30" s="12">
        <v>2</v>
      </c>
      <c r="L30" s="9">
        <v>8368.92</v>
      </c>
      <c r="M30" s="11">
        <v>1246</v>
      </c>
      <c r="N30" s="13">
        <v>46073</v>
      </c>
      <c r="O30" s="39" t="s">
        <v>46</v>
      </c>
      <c r="P30" s="42"/>
    </row>
    <row r="31" spans="1:16" ht="24.9" customHeight="1">
      <c r="A31" s="7">
        <v>29</v>
      </c>
      <c r="B31" s="10" t="s">
        <v>13</v>
      </c>
      <c r="C31" s="8" t="s">
        <v>157</v>
      </c>
      <c r="D31" s="9">
        <v>350</v>
      </c>
      <c r="E31" s="9" t="s">
        <v>13</v>
      </c>
      <c r="F31" s="10" t="s">
        <v>13</v>
      </c>
      <c r="G31" s="11">
        <v>62</v>
      </c>
      <c r="H31" s="11">
        <v>2</v>
      </c>
      <c r="I31" s="12">
        <f t="shared" si="1"/>
        <v>31</v>
      </c>
      <c r="J31" s="11">
        <v>1</v>
      </c>
      <c r="K31" s="10" t="s">
        <v>13</v>
      </c>
      <c r="L31" s="9">
        <v>94335.700000000012</v>
      </c>
      <c r="M31" s="11">
        <v>18851</v>
      </c>
      <c r="N31" s="13">
        <v>45709</v>
      </c>
      <c r="O31" s="39" t="s">
        <v>46</v>
      </c>
      <c r="P31" s="42"/>
    </row>
    <row r="32" spans="1:16" ht="24.9" customHeight="1">
      <c r="A32" s="7">
        <v>30</v>
      </c>
      <c r="B32" s="12">
        <v>18</v>
      </c>
      <c r="C32" s="8" t="s">
        <v>113</v>
      </c>
      <c r="D32" s="9">
        <v>348.81</v>
      </c>
      <c r="E32" s="9">
        <v>2891.69</v>
      </c>
      <c r="F32" s="10">
        <f>(D32-E32)/E32</f>
        <v>-0.87937503674321937</v>
      </c>
      <c r="G32" s="11">
        <v>54</v>
      </c>
      <c r="H32" s="11">
        <v>2</v>
      </c>
      <c r="I32" s="12">
        <f t="shared" si="1"/>
        <v>27</v>
      </c>
      <c r="J32" s="11">
        <v>2</v>
      </c>
      <c r="K32" s="12">
        <v>4</v>
      </c>
      <c r="L32" s="9">
        <v>32035.31</v>
      </c>
      <c r="M32" s="11">
        <v>5185</v>
      </c>
      <c r="N32" s="13">
        <v>46059</v>
      </c>
      <c r="O32" s="39" t="s">
        <v>119</v>
      </c>
      <c r="P32" s="42"/>
    </row>
    <row r="33" spans="1:16" s="44" customFormat="1" ht="24.9" customHeight="1">
      <c r="A33" s="7">
        <v>31</v>
      </c>
      <c r="B33" s="12">
        <v>30</v>
      </c>
      <c r="C33" s="8" t="s">
        <v>108</v>
      </c>
      <c r="D33" s="9">
        <v>287.5</v>
      </c>
      <c r="E33" s="9">
        <v>236</v>
      </c>
      <c r="F33" s="10">
        <f>(D33-E33)/E33</f>
        <v>0.21822033898305085</v>
      </c>
      <c r="G33" s="11">
        <v>33</v>
      </c>
      <c r="H33" s="11">
        <v>2</v>
      </c>
      <c r="I33" s="12">
        <f t="shared" si="1"/>
        <v>16.5</v>
      </c>
      <c r="J33" s="11">
        <v>1</v>
      </c>
      <c r="K33" s="12">
        <v>5</v>
      </c>
      <c r="L33" s="9">
        <v>17585.52</v>
      </c>
      <c r="M33" s="11">
        <v>2500</v>
      </c>
      <c r="N33" s="13">
        <v>46052</v>
      </c>
      <c r="O33" s="39" t="s">
        <v>37</v>
      </c>
      <c r="P33" s="42"/>
    </row>
    <row r="34" spans="1:16" ht="24.9" customHeight="1">
      <c r="A34" s="7">
        <v>32</v>
      </c>
      <c r="B34" s="12">
        <v>28</v>
      </c>
      <c r="C34" s="8" t="s">
        <v>50</v>
      </c>
      <c r="D34" s="9">
        <v>180</v>
      </c>
      <c r="E34" s="9">
        <v>559.45000000000005</v>
      </c>
      <c r="F34" s="10">
        <f>(D34-E34)/E34</f>
        <v>-0.67825542943962824</v>
      </c>
      <c r="G34" s="11">
        <v>30</v>
      </c>
      <c r="H34" s="11">
        <v>1</v>
      </c>
      <c r="I34" s="12">
        <f t="shared" si="1"/>
        <v>30</v>
      </c>
      <c r="J34" s="11">
        <v>1</v>
      </c>
      <c r="K34" s="12">
        <v>9</v>
      </c>
      <c r="L34" s="9">
        <v>49791.759999999995</v>
      </c>
      <c r="M34" s="11">
        <v>7449</v>
      </c>
      <c r="N34" s="13">
        <v>46024</v>
      </c>
      <c r="O34" s="39" t="s">
        <v>51</v>
      </c>
      <c r="P34" s="42"/>
    </row>
    <row r="35" spans="1:16" s="44" customFormat="1" ht="24.9" customHeight="1">
      <c r="A35" s="7">
        <v>33</v>
      </c>
      <c r="B35" s="12">
        <v>38</v>
      </c>
      <c r="C35" s="8" t="s">
        <v>69</v>
      </c>
      <c r="D35" s="9">
        <v>135</v>
      </c>
      <c r="E35" s="9">
        <v>10</v>
      </c>
      <c r="F35" s="10">
        <f>(D35-E35)/E35</f>
        <v>12.5</v>
      </c>
      <c r="G35" s="11">
        <v>27</v>
      </c>
      <c r="H35" s="10" t="s">
        <v>13</v>
      </c>
      <c r="I35" s="10" t="s">
        <v>13</v>
      </c>
      <c r="J35" s="11">
        <v>1</v>
      </c>
      <c r="K35" s="12" t="s">
        <v>13</v>
      </c>
      <c r="L35" s="9">
        <v>113925</v>
      </c>
      <c r="M35" s="11">
        <v>21468</v>
      </c>
      <c r="N35" s="13">
        <v>45954</v>
      </c>
      <c r="O35" s="39" t="s">
        <v>44</v>
      </c>
      <c r="P35" s="42"/>
    </row>
    <row r="36" spans="1:16" ht="24.9" customHeight="1">
      <c r="A36" s="7">
        <v>34</v>
      </c>
      <c r="B36" s="12" t="s">
        <v>13</v>
      </c>
      <c r="C36" s="8" t="s">
        <v>153</v>
      </c>
      <c r="D36" s="9">
        <v>90</v>
      </c>
      <c r="E36" s="9" t="s">
        <v>13</v>
      </c>
      <c r="F36" s="10" t="s">
        <v>13</v>
      </c>
      <c r="G36" s="11">
        <v>18</v>
      </c>
      <c r="H36" s="11">
        <v>1</v>
      </c>
      <c r="I36" s="12">
        <f>G36/H36</f>
        <v>18</v>
      </c>
      <c r="J36" s="11">
        <v>1</v>
      </c>
      <c r="K36" s="12" t="s">
        <v>13</v>
      </c>
      <c r="L36" s="9">
        <v>7011</v>
      </c>
      <c r="M36" s="11">
        <v>1213</v>
      </c>
      <c r="N36" s="13">
        <v>45884</v>
      </c>
      <c r="O36" s="39" t="s">
        <v>86</v>
      </c>
      <c r="P36" s="42"/>
    </row>
    <row r="37" spans="1:16" ht="24.9" customHeight="1">
      <c r="A37" s="7">
        <v>35</v>
      </c>
      <c r="B37" s="12" t="s">
        <v>13</v>
      </c>
      <c r="C37" s="8" t="s">
        <v>91</v>
      </c>
      <c r="D37" s="9">
        <v>72.8</v>
      </c>
      <c r="E37" s="9" t="s">
        <v>13</v>
      </c>
      <c r="F37" s="10" t="s">
        <v>13</v>
      </c>
      <c r="G37" s="11">
        <v>23</v>
      </c>
      <c r="H37" s="11">
        <v>1</v>
      </c>
      <c r="I37" s="12">
        <f>G37/H37</f>
        <v>23</v>
      </c>
      <c r="J37" s="11">
        <v>1</v>
      </c>
      <c r="K37" s="12" t="s">
        <v>13</v>
      </c>
      <c r="L37" s="9">
        <v>88744.55</v>
      </c>
      <c r="M37" s="11">
        <v>18346</v>
      </c>
      <c r="N37" s="13">
        <v>44855</v>
      </c>
      <c r="O37" s="39" t="s">
        <v>42</v>
      </c>
      <c r="P37" s="42"/>
    </row>
    <row r="38" spans="1:16" s="44" customFormat="1" ht="24.9" customHeight="1">
      <c r="A38" s="7">
        <v>36</v>
      </c>
      <c r="B38" s="12" t="s">
        <v>13</v>
      </c>
      <c r="C38" s="8" t="s">
        <v>162</v>
      </c>
      <c r="D38" s="9">
        <v>45.6</v>
      </c>
      <c r="E38" s="9" t="s">
        <v>13</v>
      </c>
      <c r="F38" s="10" t="s">
        <v>13</v>
      </c>
      <c r="G38" s="11">
        <v>10</v>
      </c>
      <c r="H38" s="11">
        <v>1</v>
      </c>
      <c r="I38" s="12">
        <f>G38/H38</f>
        <v>10</v>
      </c>
      <c r="J38" s="11">
        <v>1</v>
      </c>
      <c r="K38" s="12" t="s">
        <v>13</v>
      </c>
      <c r="L38" s="9">
        <v>70381.27</v>
      </c>
      <c r="M38" s="11">
        <v>13851</v>
      </c>
      <c r="N38" s="13">
        <v>45583</v>
      </c>
      <c r="O38" s="39" t="s">
        <v>42</v>
      </c>
      <c r="P38" s="42"/>
    </row>
    <row r="39" spans="1:16" s="44" customFormat="1" ht="24.9" customHeight="1">
      <c r="A39" s="7">
        <v>37</v>
      </c>
      <c r="B39" s="12">
        <v>35</v>
      </c>
      <c r="C39" s="8" t="s">
        <v>142</v>
      </c>
      <c r="D39" s="9">
        <v>41.4</v>
      </c>
      <c r="E39" s="9">
        <v>51.5</v>
      </c>
      <c r="F39" s="10">
        <f>(D39-E39)/E39</f>
        <v>-0.19611650485436896</v>
      </c>
      <c r="G39" s="11">
        <v>9</v>
      </c>
      <c r="H39" s="11">
        <v>1</v>
      </c>
      <c r="I39" s="12">
        <f>G39/H39</f>
        <v>9</v>
      </c>
      <c r="J39" s="11">
        <v>1</v>
      </c>
      <c r="K39" s="12" t="s">
        <v>13</v>
      </c>
      <c r="L39" s="9">
        <v>51269</v>
      </c>
      <c r="M39" s="11">
        <v>10059</v>
      </c>
      <c r="N39" s="13">
        <v>45310</v>
      </c>
      <c r="O39" s="39" t="s">
        <v>42</v>
      </c>
      <c r="P39" s="42"/>
    </row>
    <row r="40" spans="1:16" ht="24.75" customHeight="1">
      <c r="A40" s="25" t="s">
        <v>14</v>
      </c>
      <c r="B40" s="57" t="s">
        <v>14</v>
      </c>
      <c r="C40" s="29" t="s">
        <v>146</v>
      </c>
      <c r="D40" s="27">
        <f>SUBTOTAL(109,Table13245678910[Pajamos 
(GBO)])</f>
        <v>423903.71</v>
      </c>
      <c r="E40" s="27" t="s">
        <v>152</v>
      </c>
      <c r="F40" s="43">
        <f>(D40-E40)/E40</f>
        <v>-0.2382846910758438</v>
      </c>
      <c r="G40" s="34">
        <f>SUBTOTAL(109,Table13245678910[Žiūrovų sk. 
(ADM)])</f>
        <v>56397</v>
      </c>
      <c r="H40" s="36"/>
      <c r="I40" s="25"/>
      <c r="J40" s="36"/>
      <c r="K40" s="48"/>
      <c r="L40" s="32"/>
      <c r="M40" s="36"/>
      <c r="N40" s="38"/>
      <c r="O40" s="41"/>
      <c r="P40" s="52"/>
    </row>
    <row r="41" spans="1:16"/>
    <row r="42" spans="1:16"/>
    <row r="43" spans="1:16"/>
    <row r="44" spans="1:16"/>
    <row r="45" spans="1:16"/>
    <row r="46" spans="1:16"/>
    <row r="47" spans="1:16"/>
    <row r="48" spans="1:1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FBFBC-72DD-401D-8825-7DDA3BEF2E14}">
  <sheetPr>
    <pageSetUpPr fitToPage="1"/>
  </sheetPr>
  <dimension ref="A1:XFC108"/>
  <sheetViews>
    <sheetView topLeftCell="A7" zoomScale="60" zoomScaleNormal="60" workbookViewId="0">
      <selection activeCell="O14" sqref="O14"/>
    </sheetView>
  </sheetViews>
  <sheetFormatPr defaultColWidth="0" defaultRowHeight="11.4" zeroHeight="1"/>
  <cols>
    <col min="1" max="2" width="4.75" style="1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6" s="4" customFormat="1" ht="40.5" customHeight="1" thickBot="1">
      <c r="A1" s="96" t="s">
        <v>136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" customFormat="1" ht="24.6" customHeight="1">
      <c r="A3" s="14">
        <v>1</v>
      </c>
      <c r="B3" s="19">
        <v>1</v>
      </c>
      <c r="C3" s="15" t="s">
        <v>133</v>
      </c>
      <c r="D3" s="16">
        <v>162117.78</v>
      </c>
      <c r="E3" s="16">
        <v>204564.27</v>
      </c>
      <c r="F3" s="17">
        <f>(D3-E3)/E3</f>
        <v>-0.20749708636801525</v>
      </c>
      <c r="G3" s="18">
        <v>18563</v>
      </c>
      <c r="H3" s="18">
        <v>159</v>
      </c>
      <c r="I3" s="19">
        <f>G3/H3</f>
        <v>116.74842767295597</v>
      </c>
      <c r="J3" s="18">
        <v>15</v>
      </c>
      <c r="K3" s="19">
        <v>2</v>
      </c>
      <c r="L3" s="16">
        <v>527375.79</v>
      </c>
      <c r="M3" s="18">
        <v>64544</v>
      </c>
      <c r="N3" s="20">
        <v>46066</v>
      </c>
      <c r="O3" s="40" t="s">
        <v>134</v>
      </c>
      <c r="P3" s="51"/>
    </row>
    <row r="4" spans="1:16" s="21" customFormat="1" ht="24.6" customHeight="1">
      <c r="A4" s="14">
        <v>2</v>
      </c>
      <c r="B4" s="19" t="s">
        <v>49</v>
      </c>
      <c r="C4" s="15" t="s">
        <v>126</v>
      </c>
      <c r="D4" s="16">
        <v>92908.22</v>
      </c>
      <c r="E4" s="17" t="s">
        <v>13</v>
      </c>
      <c r="F4" s="17" t="s">
        <v>13</v>
      </c>
      <c r="G4" s="18">
        <v>15126</v>
      </c>
      <c r="H4" s="18">
        <v>159</v>
      </c>
      <c r="I4" s="19">
        <f>G4/H4</f>
        <v>95.132075471698116</v>
      </c>
      <c r="J4" s="18">
        <v>19</v>
      </c>
      <c r="K4" s="19">
        <v>1</v>
      </c>
      <c r="L4" s="16">
        <v>105535.96</v>
      </c>
      <c r="M4" s="18">
        <v>17248</v>
      </c>
      <c r="N4" s="20">
        <v>46073</v>
      </c>
      <c r="O4" s="40" t="s">
        <v>39</v>
      </c>
      <c r="P4" s="51"/>
    </row>
    <row r="5" spans="1:16" s="21" customFormat="1" ht="24.9" customHeight="1">
      <c r="A5" s="14">
        <v>3</v>
      </c>
      <c r="B5" s="19" t="s">
        <v>49</v>
      </c>
      <c r="C5" s="15" t="s">
        <v>131</v>
      </c>
      <c r="D5" s="16">
        <v>79428.13</v>
      </c>
      <c r="E5" s="17" t="s">
        <v>13</v>
      </c>
      <c r="F5" s="17" t="s">
        <v>13</v>
      </c>
      <c r="G5" s="18">
        <v>9992</v>
      </c>
      <c r="H5" s="17" t="s">
        <v>13</v>
      </c>
      <c r="I5" s="17" t="s">
        <v>13</v>
      </c>
      <c r="J5" s="18">
        <v>19</v>
      </c>
      <c r="K5" s="19">
        <v>1</v>
      </c>
      <c r="L5" s="16">
        <v>98425.59</v>
      </c>
      <c r="M5" s="18">
        <v>12476</v>
      </c>
      <c r="N5" s="20">
        <v>46073</v>
      </c>
      <c r="O5" s="40" t="s">
        <v>147</v>
      </c>
      <c r="P5" s="51"/>
    </row>
    <row r="6" spans="1:16" s="2" customFormat="1" ht="24.9" customHeight="1">
      <c r="A6" s="14">
        <v>4</v>
      </c>
      <c r="B6" s="19">
        <v>2</v>
      </c>
      <c r="C6" s="15" t="s">
        <v>123</v>
      </c>
      <c r="D6" s="16">
        <v>75108.98</v>
      </c>
      <c r="E6" s="16">
        <v>156035.97</v>
      </c>
      <c r="F6" s="17">
        <f t="shared" ref="F6:F14" si="0">(D6-E6)/E6</f>
        <v>-0.51864316926411269</v>
      </c>
      <c r="G6" s="18">
        <v>8511</v>
      </c>
      <c r="H6" s="18">
        <v>100</v>
      </c>
      <c r="I6" s="19">
        <f t="shared" ref="I6:I11" si="1">G6/H6</f>
        <v>85.11</v>
      </c>
      <c r="J6" s="18">
        <v>18</v>
      </c>
      <c r="K6" s="19">
        <v>2</v>
      </c>
      <c r="L6" s="16">
        <v>346721.66</v>
      </c>
      <c r="M6" s="18">
        <v>38421</v>
      </c>
      <c r="N6" s="20">
        <v>46066</v>
      </c>
      <c r="O6" s="40" t="s">
        <v>55</v>
      </c>
      <c r="P6" s="51"/>
    </row>
    <row r="7" spans="1:16" s="21" customFormat="1" ht="24.9" customHeight="1">
      <c r="A7" s="14">
        <v>5</v>
      </c>
      <c r="B7" s="19">
        <v>3</v>
      </c>
      <c r="C7" s="15" t="s">
        <v>89</v>
      </c>
      <c r="D7" s="16">
        <v>27326.61</v>
      </c>
      <c r="E7" s="16">
        <v>42353.51</v>
      </c>
      <c r="F7" s="17">
        <f t="shared" si="0"/>
        <v>-0.35479704043419308</v>
      </c>
      <c r="G7" s="18">
        <v>3419</v>
      </c>
      <c r="H7" s="18">
        <v>54</v>
      </c>
      <c r="I7" s="19">
        <f t="shared" si="1"/>
        <v>63.314814814814817</v>
      </c>
      <c r="J7" s="18">
        <v>13</v>
      </c>
      <c r="K7" s="19">
        <v>5</v>
      </c>
      <c r="L7" s="16">
        <v>661210.81999999995</v>
      </c>
      <c r="M7" s="18">
        <v>80827</v>
      </c>
      <c r="N7" s="20">
        <v>46045</v>
      </c>
      <c r="O7" s="40" t="s">
        <v>42</v>
      </c>
      <c r="P7" s="51"/>
    </row>
    <row r="8" spans="1:16" s="21" customFormat="1" ht="24.6" customHeight="1">
      <c r="A8" s="14">
        <v>6</v>
      </c>
      <c r="B8" s="19">
        <v>8</v>
      </c>
      <c r="C8" s="15" t="s">
        <v>18</v>
      </c>
      <c r="D8" s="45">
        <v>15852.4</v>
      </c>
      <c r="E8" s="16">
        <v>18779.25</v>
      </c>
      <c r="F8" s="17">
        <f t="shared" si="0"/>
        <v>-0.15585553203668945</v>
      </c>
      <c r="G8" s="46">
        <v>2514</v>
      </c>
      <c r="H8" s="18">
        <v>40</v>
      </c>
      <c r="I8" s="19">
        <f t="shared" si="1"/>
        <v>62.85</v>
      </c>
      <c r="J8" s="18">
        <v>8</v>
      </c>
      <c r="K8" s="19">
        <v>13</v>
      </c>
      <c r="L8" s="45">
        <v>1256469.6499999999</v>
      </c>
      <c r="M8" s="46">
        <v>199927</v>
      </c>
      <c r="N8" s="20">
        <v>45989</v>
      </c>
      <c r="O8" s="40" t="s">
        <v>37</v>
      </c>
      <c r="P8" s="51"/>
    </row>
    <row r="9" spans="1:16" s="21" customFormat="1" ht="24.6" customHeight="1">
      <c r="A9" s="14">
        <v>7</v>
      </c>
      <c r="B9" s="19">
        <v>9</v>
      </c>
      <c r="C9" s="15" t="s">
        <v>16</v>
      </c>
      <c r="D9" s="16">
        <v>14258.2</v>
      </c>
      <c r="E9" s="16">
        <v>17445.18</v>
      </c>
      <c r="F9" s="17">
        <f t="shared" si="0"/>
        <v>-0.18268541797791707</v>
      </c>
      <c r="G9" s="18">
        <v>1611</v>
      </c>
      <c r="H9" s="18">
        <v>20</v>
      </c>
      <c r="I9" s="19">
        <f t="shared" si="1"/>
        <v>80.55</v>
      </c>
      <c r="J9" s="18">
        <v>5</v>
      </c>
      <c r="K9" s="19">
        <v>10</v>
      </c>
      <c r="L9" s="16">
        <v>2018258.49</v>
      </c>
      <c r="M9" s="18">
        <v>221878</v>
      </c>
      <c r="N9" s="20">
        <v>46010</v>
      </c>
      <c r="O9" s="40" t="s">
        <v>37</v>
      </c>
      <c r="P9" s="51"/>
    </row>
    <row r="10" spans="1:16" s="21" customFormat="1" ht="24.6" customHeight="1">
      <c r="A10" s="14">
        <v>8</v>
      </c>
      <c r="B10" s="19">
        <v>7</v>
      </c>
      <c r="C10" s="15" t="s">
        <v>79</v>
      </c>
      <c r="D10" s="16">
        <v>13781.76</v>
      </c>
      <c r="E10" s="16">
        <v>20512.87</v>
      </c>
      <c r="F10" s="17">
        <f t="shared" si="0"/>
        <v>-0.32814082086026963</v>
      </c>
      <c r="G10" s="18">
        <v>2301</v>
      </c>
      <c r="H10" s="18">
        <v>57</v>
      </c>
      <c r="I10" s="19">
        <f t="shared" si="1"/>
        <v>40.368421052631582</v>
      </c>
      <c r="J10" s="18">
        <v>13</v>
      </c>
      <c r="K10" s="19">
        <v>6</v>
      </c>
      <c r="L10" s="16">
        <v>276092.37</v>
      </c>
      <c r="M10" s="18">
        <v>48660</v>
      </c>
      <c r="N10" s="20">
        <v>46038</v>
      </c>
      <c r="O10" s="40" t="s">
        <v>42</v>
      </c>
      <c r="P10" s="51"/>
    </row>
    <row r="11" spans="1:16" s="21" customFormat="1" ht="24.6" customHeight="1">
      <c r="A11" s="14">
        <v>9</v>
      </c>
      <c r="B11" s="19">
        <v>5</v>
      </c>
      <c r="C11" s="15" t="s">
        <v>135</v>
      </c>
      <c r="D11" s="16">
        <v>12443.25</v>
      </c>
      <c r="E11" s="16">
        <v>22441.8</v>
      </c>
      <c r="F11" s="17">
        <f t="shared" si="0"/>
        <v>-0.44553244392161057</v>
      </c>
      <c r="G11" s="18">
        <v>2094</v>
      </c>
      <c r="H11" s="18">
        <v>51</v>
      </c>
      <c r="I11" s="19">
        <f t="shared" si="1"/>
        <v>41.058823529411768</v>
      </c>
      <c r="J11" s="18">
        <v>15</v>
      </c>
      <c r="K11" s="19">
        <v>2</v>
      </c>
      <c r="L11" s="16">
        <v>62353.649999999994</v>
      </c>
      <c r="M11" s="18">
        <v>10672</v>
      </c>
      <c r="N11" s="20">
        <v>46066</v>
      </c>
      <c r="O11" s="40" t="s">
        <v>46</v>
      </c>
      <c r="P11" s="51"/>
    </row>
    <row r="12" spans="1:16" s="21" customFormat="1" ht="24.9" customHeight="1">
      <c r="A12" s="14">
        <v>10</v>
      </c>
      <c r="B12" s="19">
        <v>4</v>
      </c>
      <c r="C12" s="15" t="s">
        <v>104</v>
      </c>
      <c r="D12" s="16">
        <v>9481.4699999999993</v>
      </c>
      <c r="E12" s="16">
        <v>34810.100000000006</v>
      </c>
      <c r="F12" s="17">
        <f t="shared" si="0"/>
        <v>-0.72762301745757696</v>
      </c>
      <c r="G12" s="18">
        <v>1273</v>
      </c>
      <c r="H12" s="17" t="s">
        <v>13</v>
      </c>
      <c r="I12" s="17" t="s">
        <v>13</v>
      </c>
      <c r="J12" s="18">
        <v>13</v>
      </c>
      <c r="K12" s="19">
        <v>4</v>
      </c>
      <c r="L12" s="16">
        <v>202077.55570000003</v>
      </c>
      <c r="M12" s="18">
        <v>26799</v>
      </c>
      <c r="N12" s="20">
        <v>46052</v>
      </c>
      <c r="O12" s="40" t="s">
        <v>41</v>
      </c>
      <c r="P12" s="51"/>
    </row>
    <row r="13" spans="1:16" s="21" customFormat="1" ht="24.9" customHeight="1">
      <c r="A13" s="14">
        <v>11</v>
      </c>
      <c r="B13" s="19">
        <v>6</v>
      </c>
      <c r="C13" s="15" t="s">
        <v>71</v>
      </c>
      <c r="D13" s="16">
        <v>7913</v>
      </c>
      <c r="E13" s="16">
        <v>21179</v>
      </c>
      <c r="F13" s="17">
        <f t="shared" si="0"/>
        <v>-0.62637518296425709</v>
      </c>
      <c r="G13" s="18">
        <v>1004</v>
      </c>
      <c r="H13" s="18">
        <v>40</v>
      </c>
      <c r="I13" s="19">
        <f t="shared" ref="I13:I21" si="2">G13/H13</f>
        <v>25.1</v>
      </c>
      <c r="J13" s="18">
        <v>22</v>
      </c>
      <c r="K13" s="19">
        <v>7</v>
      </c>
      <c r="L13" s="16">
        <v>842712</v>
      </c>
      <c r="M13" s="18">
        <v>111735</v>
      </c>
      <c r="N13" s="20">
        <v>46031</v>
      </c>
      <c r="O13" s="40" t="s">
        <v>74</v>
      </c>
      <c r="P13" s="51"/>
    </row>
    <row r="14" spans="1:16" s="21" customFormat="1" ht="24.9" customHeight="1">
      <c r="A14" s="14">
        <v>12</v>
      </c>
      <c r="B14" s="19">
        <v>15</v>
      </c>
      <c r="C14" s="15" t="s">
        <v>78</v>
      </c>
      <c r="D14" s="16">
        <v>6987.65</v>
      </c>
      <c r="E14" s="16">
        <v>8827.74</v>
      </c>
      <c r="F14" s="17">
        <f t="shared" si="0"/>
        <v>-0.20844406382607555</v>
      </c>
      <c r="G14" s="18">
        <v>915</v>
      </c>
      <c r="H14" s="18">
        <v>17</v>
      </c>
      <c r="I14" s="19">
        <f t="shared" si="2"/>
        <v>53.823529411764703</v>
      </c>
      <c r="J14" s="18">
        <v>9</v>
      </c>
      <c r="K14" s="19">
        <v>6</v>
      </c>
      <c r="L14" s="16">
        <v>138871.67000000001</v>
      </c>
      <c r="M14" s="18">
        <v>19050</v>
      </c>
      <c r="N14" s="20">
        <v>46038</v>
      </c>
      <c r="O14" s="40" t="s">
        <v>47</v>
      </c>
      <c r="P14" s="51"/>
    </row>
    <row r="15" spans="1:16" s="21" customFormat="1" ht="24.9" customHeight="1">
      <c r="A15" s="14">
        <v>13</v>
      </c>
      <c r="B15" s="19" t="s">
        <v>49</v>
      </c>
      <c r="C15" s="15" t="s">
        <v>141</v>
      </c>
      <c r="D15" s="16">
        <v>5511.49</v>
      </c>
      <c r="E15" s="16" t="s">
        <v>13</v>
      </c>
      <c r="F15" s="17" t="s">
        <v>13</v>
      </c>
      <c r="G15" s="18">
        <v>708</v>
      </c>
      <c r="H15" s="18">
        <v>32</v>
      </c>
      <c r="I15" s="19">
        <f t="shared" si="2"/>
        <v>22.125</v>
      </c>
      <c r="J15" s="18">
        <v>12</v>
      </c>
      <c r="K15" s="19">
        <v>1</v>
      </c>
      <c r="L15" s="16">
        <v>5511.49</v>
      </c>
      <c r="M15" s="18">
        <v>708</v>
      </c>
      <c r="N15" s="20">
        <v>46073</v>
      </c>
      <c r="O15" s="40" t="s">
        <v>46</v>
      </c>
      <c r="P15" s="51"/>
    </row>
    <row r="16" spans="1:16" s="21" customFormat="1" ht="24.9" customHeight="1">
      <c r="A16" s="14">
        <v>14</v>
      </c>
      <c r="B16" s="19">
        <v>13</v>
      </c>
      <c r="C16" s="15" t="s">
        <v>93</v>
      </c>
      <c r="D16" s="16">
        <v>4959.8500000000004</v>
      </c>
      <c r="E16" s="16">
        <v>12645.18</v>
      </c>
      <c r="F16" s="17">
        <f>(D16-E16)/E16</f>
        <v>-0.60776754462965332</v>
      </c>
      <c r="G16" s="18">
        <v>677</v>
      </c>
      <c r="H16" s="18">
        <v>18</v>
      </c>
      <c r="I16" s="19">
        <f t="shared" si="2"/>
        <v>37.611111111111114</v>
      </c>
      <c r="J16" s="18">
        <v>7</v>
      </c>
      <c r="K16" s="19">
        <v>5</v>
      </c>
      <c r="L16" s="16">
        <v>150980.93</v>
      </c>
      <c r="M16" s="18">
        <v>20952</v>
      </c>
      <c r="N16" s="20">
        <v>46045</v>
      </c>
      <c r="O16" s="40" t="s">
        <v>94</v>
      </c>
      <c r="P16" s="51"/>
    </row>
    <row r="17" spans="1:16" s="21" customFormat="1" ht="24.9" customHeight="1">
      <c r="A17" s="14">
        <v>15</v>
      </c>
      <c r="B17" s="19" t="s">
        <v>49</v>
      </c>
      <c r="C17" s="15" t="s">
        <v>138</v>
      </c>
      <c r="D17" s="16">
        <v>4224.3</v>
      </c>
      <c r="E17" s="17" t="s">
        <v>13</v>
      </c>
      <c r="F17" s="17" t="s">
        <v>13</v>
      </c>
      <c r="G17" s="18">
        <v>801</v>
      </c>
      <c r="H17" s="18">
        <v>20</v>
      </c>
      <c r="I17" s="19">
        <f t="shared" si="2"/>
        <v>40.049999999999997</v>
      </c>
      <c r="J17" s="18">
        <v>11</v>
      </c>
      <c r="K17" s="19">
        <v>1</v>
      </c>
      <c r="L17" s="16">
        <v>4224.3</v>
      </c>
      <c r="M17" s="18">
        <v>801</v>
      </c>
      <c r="N17" s="20">
        <v>46073</v>
      </c>
      <c r="O17" s="39" t="s">
        <v>51</v>
      </c>
      <c r="P17" s="51"/>
    </row>
    <row r="18" spans="1:16" s="21" customFormat="1" ht="24.9" customHeight="1">
      <c r="A18" s="14">
        <v>16</v>
      </c>
      <c r="B18" s="19">
        <v>11</v>
      </c>
      <c r="C18" s="15" t="s">
        <v>125</v>
      </c>
      <c r="D18" s="16">
        <v>4200.26</v>
      </c>
      <c r="E18" s="16">
        <v>13929.32</v>
      </c>
      <c r="F18" s="17">
        <f>(D18-E18)/E18</f>
        <v>-0.69845907768649151</v>
      </c>
      <c r="G18" s="18">
        <v>538</v>
      </c>
      <c r="H18" s="18">
        <v>16</v>
      </c>
      <c r="I18" s="19">
        <f t="shared" si="2"/>
        <v>33.625</v>
      </c>
      <c r="J18" s="18">
        <v>6</v>
      </c>
      <c r="K18" s="19">
        <v>2</v>
      </c>
      <c r="L18" s="16">
        <v>24943.61</v>
      </c>
      <c r="M18" s="18">
        <v>3173</v>
      </c>
      <c r="N18" s="20">
        <v>46066</v>
      </c>
      <c r="O18" s="40" t="s">
        <v>42</v>
      </c>
      <c r="P18" s="51"/>
    </row>
    <row r="19" spans="1:16" s="21" customFormat="1" ht="24.9" customHeight="1">
      <c r="A19" s="14">
        <v>17</v>
      </c>
      <c r="B19" s="19" t="s">
        <v>49</v>
      </c>
      <c r="C19" s="15" t="s">
        <v>145</v>
      </c>
      <c r="D19" s="16">
        <v>3483.92</v>
      </c>
      <c r="E19" s="16" t="s">
        <v>13</v>
      </c>
      <c r="F19" s="17" t="s">
        <v>13</v>
      </c>
      <c r="G19" s="18">
        <v>447</v>
      </c>
      <c r="H19" s="18">
        <v>36</v>
      </c>
      <c r="I19" s="19">
        <f t="shared" si="2"/>
        <v>12.416666666666666</v>
      </c>
      <c r="J19" s="18">
        <v>12</v>
      </c>
      <c r="K19" s="19">
        <v>1</v>
      </c>
      <c r="L19" s="16">
        <v>3761.69</v>
      </c>
      <c r="M19" s="18">
        <v>508</v>
      </c>
      <c r="N19" s="20">
        <v>46073</v>
      </c>
      <c r="O19" s="40" t="s">
        <v>37</v>
      </c>
      <c r="P19" s="51"/>
    </row>
    <row r="20" spans="1:16" s="21" customFormat="1" ht="24.9" customHeight="1">
      <c r="A20" s="14">
        <v>18</v>
      </c>
      <c r="B20" s="19">
        <v>18</v>
      </c>
      <c r="C20" s="15" t="s">
        <v>113</v>
      </c>
      <c r="D20" s="16">
        <v>2891.69</v>
      </c>
      <c r="E20" s="16">
        <v>6663.46</v>
      </c>
      <c r="F20" s="17">
        <f>(D20-E20)/E20</f>
        <v>-0.5660377641645632</v>
      </c>
      <c r="G20" s="18">
        <v>408</v>
      </c>
      <c r="H20" s="18">
        <v>12</v>
      </c>
      <c r="I20" s="19">
        <f t="shared" si="2"/>
        <v>34</v>
      </c>
      <c r="J20" s="18">
        <v>7</v>
      </c>
      <c r="K20" s="19">
        <v>3</v>
      </c>
      <c r="L20" s="16">
        <v>30215.24</v>
      </c>
      <c r="M20" s="18">
        <v>4890</v>
      </c>
      <c r="N20" s="20">
        <v>46059</v>
      </c>
      <c r="O20" s="40" t="s">
        <v>119</v>
      </c>
      <c r="P20" s="51"/>
    </row>
    <row r="21" spans="1:16" s="21" customFormat="1" ht="24.9" customHeight="1">
      <c r="A21" s="14">
        <v>19</v>
      </c>
      <c r="B21" s="19">
        <v>10</v>
      </c>
      <c r="C21" s="15" t="s">
        <v>124</v>
      </c>
      <c r="D21" s="16">
        <v>2867.04</v>
      </c>
      <c r="E21" s="16">
        <v>17083.84</v>
      </c>
      <c r="F21" s="17">
        <f>(D21-E21)/E21</f>
        <v>-0.83217824564032439</v>
      </c>
      <c r="G21" s="18">
        <v>386</v>
      </c>
      <c r="H21" s="18">
        <v>15</v>
      </c>
      <c r="I21" s="19">
        <f t="shared" si="2"/>
        <v>25.733333333333334</v>
      </c>
      <c r="J21" s="18">
        <v>7</v>
      </c>
      <c r="K21" s="19">
        <v>2</v>
      </c>
      <c r="L21" s="16">
        <v>28629.34</v>
      </c>
      <c r="M21" s="18">
        <v>3512</v>
      </c>
      <c r="N21" s="20">
        <v>46066</v>
      </c>
      <c r="O21" s="40" t="s">
        <v>39</v>
      </c>
      <c r="P21" s="51"/>
    </row>
    <row r="22" spans="1:16" s="2" customFormat="1" ht="24.75" customHeight="1">
      <c r="A22" s="14">
        <v>20</v>
      </c>
      <c r="B22" s="19">
        <v>19</v>
      </c>
      <c r="C22" s="15" t="s">
        <v>148</v>
      </c>
      <c r="D22" s="16">
        <v>1955</v>
      </c>
      <c r="E22" s="16" t="s">
        <v>13</v>
      </c>
      <c r="F22" s="17" t="s">
        <v>13</v>
      </c>
      <c r="G22" s="18">
        <v>356</v>
      </c>
      <c r="H22" s="18">
        <v>13</v>
      </c>
      <c r="I22" s="19">
        <v>29.545454545454547</v>
      </c>
      <c r="J22" s="18">
        <v>8</v>
      </c>
      <c r="K22" s="19">
        <v>1</v>
      </c>
      <c r="L22" s="16">
        <v>10857.5</v>
      </c>
      <c r="M22" s="18">
        <v>1953</v>
      </c>
      <c r="N22" s="20">
        <v>46066</v>
      </c>
      <c r="O22" s="40" t="s">
        <v>149</v>
      </c>
      <c r="P22" s="51"/>
    </row>
    <row r="23" spans="1:16" s="44" customFormat="1" ht="24.75" customHeight="1">
      <c r="A23" s="14">
        <v>21</v>
      </c>
      <c r="B23" s="19" t="s">
        <v>49</v>
      </c>
      <c r="C23" s="15" t="s">
        <v>140</v>
      </c>
      <c r="D23" s="16">
        <v>1947.12</v>
      </c>
      <c r="E23" s="16" t="s">
        <v>13</v>
      </c>
      <c r="F23" s="17" t="s">
        <v>13</v>
      </c>
      <c r="G23" s="18">
        <v>284</v>
      </c>
      <c r="H23" s="18">
        <v>13</v>
      </c>
      <c r="I23" s="19">
        <f t="shared" ref="I23:I32" si="3">G23/H23</f>
        <v>21.846153846153847</v>
      </c>
      <c r="J23" s="18">
        <v>6</v>
      </c>
      <c r="K23" s="19">
        <v>1</v>
      </c>
      <c r="L23" s="16">
        <v>6222.62</v>
      </c>
      <c r="M23" s="18">
        <v>868</v>
      </c>
      <c r="N23" s="20">
        <v>46073</v>
      </c>
      <c r="O23" s="40" t="s">
        <v>86</v>
      </c>
      <c r="P23" s="51"/>
    </row>
    <row r="24" spans="1:16" ht="24.9" customHeight="1">
      <c r="A24" s="14">
        <v>22</v>
      </c>
      <c r="B24" s="19">
        <v>25</v>
      </c>
      <c r="C24" s="15" t="s">
        <v>115</v>
      </c>
      <c r="D24" s="16">
        <v>1159.5</v>
      </c>
      <c r="E24" s="16">
        <v>1039.8699999999999</v>
      </c>
      <c r="F24" s="17">
        <f t="shared" ref="F24:F30" si="4">(D24-E24)/E24</f>
        <v>0.11504322655716592</v>
      </c>
      <c r="G24" s="18">
        <v>162</v>
      </c>
      <c r="H24" s="18">
        <v>4</v>
      </c>
      <c r="I24" s="19">
        <f t="shared" si="3"/>
        <v>40.5</v>
      </c>
      <c r="J24" s="18">
        <v>3</v>
      </c>
      <c r="K24" s="19">
        <v>3</v>
      </c>
      <c r="L24" s="16">
        <v>9036.1200000000008</v>
      </c>
      <c r="M24" s="18">
        <v>1303</v>
      </c>
      <c r="N24" s="20">
        <v>46059</v>
      </c>
      <c r="O24" s="40" t="s">
        <v>46</v>
      </c>
      <c r="P24" s="51"/>
    </row>
    <row r="25" spans="1:16" s="44" customFormat="1" ht="24.9" customHeight="1">
      <c r="A25" s="14">
        <v>23</v>
      </c>
      <c r="B25" s="19">
        <v>16</v>
      </c>
      <c r="C25" s="15" t="s">
        <v>116</v>
      </c>
      <c r="D25" s="16">
        <v>889.5</v>
      </c>
      <c r="E25" s="16">
        <v>7447.54</v>
      </c>
      <c r="F25" s="17">
        <f t="shared" si="4"/>
        <v>-0.88056458911264657</v>
      </c>
      <c r="G25" s="18">
        <v>168</v>
      </c>
      <c r="H25" s="18">
        <v>11</v>
      </c>
      <c r="I25" s="19">
        <f t="shared" si="3"/>
        <v>15.272727272727273</v>
      </c>
      <c r="J25" s="18">
        <v>7</v>
      </c>
      <c r="K25" s="19">
        <v>3</v>
      </c>
      <c r="L25" s="16">
        <v>38094.25</v>
      </c>
      <c r="M25" s="18">
        <v>6683</v>
      </c>
      <c r="N25" s="20">
        <v>46059</v>
      </c>
      <c r="O25" s="40" t="s">
        <v>42</v>
      </c>
      <c r="P25" s="51"/>
    </row>
    <row r="26" spans="1:16" s="44" customFormat="1" ht="24.9" customHeight="1">
      <c r="A26" s="14">
        <v>24</v>
      </c>
      <c r="B26" s="19">
        <v>26</v>
      </c>
      <c r="C26" s="15" t="s">
        <v>117</v>
      </c>
      <c r="D26" s="16">
        <v>889.15</v>
      </c>
      <c r="E26" s="16">
        <v>898</v>
      </c>
      <c r="F26" s="17">
        <f t="shared" si="4"/>
        <v>-9.8552338530067066E-3</v>
      </c>
      <c r="G26" s="18">
        <v>134</v>
      </c>
      <c r="H26" s="18">
        <v>5</v>
      </c>
      <c r="I26" s="19">
        <f t="shared" si="3"/>
        <v>26.8</v>
      </c>
      <c r="J26" s="18">
        <v>3</v>
      </c>
      <c r="K26" s="19">
        <v>3</v>
      </c>
      <c r="L26" s="16">
        <v>12096.289999999999</v>
      </c>
      <c r="M26" s="18">
        <v>1734</v>
      </c>
      <c r="N26" s="20">
        <v>46059</v>
      </c>
      <c r="O26" s="40" t="s">
        <v>51</v>
      </c>
      <c r="P26" s="51"/>
    </row>
    <row r="27" spans="1:16" s="44" customFormat="1" ht="24.9" customHeight="1">
      <c r="A27" s="14">
        <v>25</v>
      </c>
      <c r="B27" s="19">
        <v>30</v>
      </c>
      <c r="C27" s="15" t="s">
        <v>122</v>
      </c>
      <c r="D27" s="16">
        <v>872.69999999999993</v>
      </c>
      <c r="E27" s="16">
        <v>346.55</v>
      </c>
      <c r="F27" s="17">
        <f t="shared" si="4"/>
        <v>1.5182513345837536</v>
      </c>
      <c r="G27" s="18">
        <v>124</v>
      </c>
      <c r="H27" s="18">
        <v>6</v>
      </c>
      <c r="I27" s="19">
        <f t="shared" si="3"/>
        <v>20.666666666666668</v>
      </c>
      <c r="J27" s="18">
        <v>4</v>
      </c>
      <c r="K27" s="19">
        <v>2</v>
      </c>
      <c r="L27" s="16">
        <v>1764.2599999999998</v>
      </c>
      <c r="M27" s="18">
        <v>279</v>
      </c>
      <c r="N27" s="20">
        <v>46066</v>
      </c>
      <c r="O27" s="40" t="s">
        <v>43</v>
      </c>
      <c r="P27" s="51"/>
    </row>
    <row r="28" spans="1:16" ht="24.9" customHeight="1">
      <c r="A28" s="14">
        <v>26</v>
      </c>
      <c r="B28" s="19">
        <v>24</v>
      </c>
      <c r="C28" s="15" t="s">
        <v>84</v>
      </c>
      <c r="D28" s="16">
        <v>714.35</v>
      </c>
      <c r="E28" s="16">
        <v>1345.87</v>
      </c>
      <c r="F28" s="17">
        <f t="shared" si="4"/>
        <v>-0.46922808295006196</v>
      </c>
      <c r="G28" s="18">
        <v>93</v>
      </c>
      <c r="H28" s="18">
        <v>3</v>
      </c>
      <c r="I28" s="19">
        <f t="shared" si="3"/>
        <v>31</v>
      </c>
      <c r="J28" s="18">
        <v>3</v>
      </c>
      <c r="K28" s="19">
        <v>6</v>
      </c>
      <c r="L28" s="16">
        <v>36126.589999999997</v>
      </c>
      <c r="M28" s="18">
        <v>5729</v>
      </c>
      <c r="N28" s="20">
        <v>46038</v>
      </c>
      <c r="O28" s="40" t="s">
        <v>207</v>
      </c>
      <c r="P28" s="51"/>
    </row>
    <row r="29" spans="1:16" s="44" customFormat="1" ht="24.9" customHeight="1">
      <c r="A29" s="14">
        <v>27</v>
      </c>
      <c r="B29" s="19">
        <v>20</v>
      </c>
      <c r="C29" s="15" t="s">
        <v>17</v>
      </c>
      <c r="D29" s="16">
        <v>614.37</v>
      </c>
      <c r="E29" s="16">
        <v>2673.44</v>
      </c>
      <c r="F29" s="17">
        <f t="shared" si="4"/>
        <v>-0.77019495481477052</v>
      </c>
      <c r="G29" s="18">
        <v>90</v>
      </c>
      <c r="H29" s="18">
        <v>1</v>
      </c>
      <c r="I29" s="19">
        <f t="shared" si="3"/>
        <v>90</v>
      </c>
      <c r="J29" s="18">
        <v>1</v>
      </c>
      <c r="K29" s="19">
        <v>9</v>
      </c>
      <c r="L29" s="16">
        <v>312165.44</v>
      </c>
      <c r="M29" s="18">
        <v>51422</v>
      </c>
      <c r="N29" s="20">
        <v>46017</v>
      </c>
      <c r="O29" s="40" t="s">
        <v>38</v>
      </c>
      <c r="P29" s="51"/>
    </row>
    <row r="30" spans="1:16" s="44" customFormat="1" ht="24.9" customHeight="1">
      <c r="A30" s="14">
        <v>28</v>
      </c>
      <c r="B30" s="19">
        <v>29</v>
      </c>
      <c r="C30" s="15" t="s">
        <v>50</v>
      </c>
      <c r="D30" s="16">
        <v>559.45000000000005</v>
      </c>
      <c r="E30" s="16">
        <v>492</v>
      </c>
      <c r="F30" s="17">
        <f t="shared" si="4"/>
        <v>0.13709349593495945</v>
      </c>
      <c r="G30" s="18">
        <v>165</v>
      </c>
      <c r="H30" s="18">
        <v>3</v>
      </c>
      <c r="I30" s="19">
        <f t="shared" si="3"/>
        <v>55</v>
      </c>
      <c r="J30" s="18">
        <v>2</v>
      </c>
      <c r="K30" s="19">
        <v>8</v>
      </c>
      <c r="L30" s="16">
        <v>49091.56</v>
      </c>
      <c r="M30" s="18">
        <v>7323</v>
      </c>
      <c r="N30" s="20">
        <v>46024</v>
      </c>
      <c r="O30" s="40" t="s">
        <v>51</v>
      </c>
      <c r="P30" s="51"/>
    </row>
    <row r="31" spans="1:16" ht="24.9" customHeight="1">
      <c r="A31" s="14">
        <v>29</v>
      </c>
      <c r="B31" s="19" t="s">
        <v>13</v>
      </c>
      <c r="C31" s="15" t="s">
        <v>139</v>
      </c>
      <c r="D31" s="16">
        <v>315</v>
      </c>
      <c r="E31" s="16" t="s">
        <v>13</v>
      </c>
      <c r="F31" s="16" t="s">
        <v>13</v>
      </c>
      <c r="G31" s="18">
        <v>45</v>
      </c>
      <c r="H31" s="18">
        <v>1</v>
      </c>
      <c r="I31" s="19">
        <f t="shared" si="3"/>
        <v>45</v>
      </c>
      <c r="J31" s="18">
        <v>1</v>
      </c>
      <c r="K31" s="17" t="s">
        <v>13</v>
      </c>
      <c r="L31" s="16">
        <v>14325</v>
      </c>
      <c r="M31" s="18">
        <v>2655</v>
      </c>
      <c r="N31" s="20">
        <v>45618</v>
      </c>
      <c r="O31" s="40" t="s">
        <v>51</v>
      </c>
      <c r="P31" s="51"/>
    </row>
    <row r="32" spans="1:16" ht="24.9" customHeight="1">
      <c r="A32" s="14">
        <v>30</v>
      </c>
      <c r="B32" s="19">
        <v>28</v>
      </c>
      <c r="C32" s="15" t="s">
        <v>108</v>
      </c>
      <c r="D32" s="16">
        <v>236</v>
      </c>
      <c r="E32" s="16">
        <v>585</v>
      </c>
      <c r="F32" s="17">
        <f>(D32-E32)/E32</f>
        <v>-0.59658119658119657</v>
      </c>
      <c r="G32" s="18">
        <v>32</v>
      </c>
      <c r="H32" s="18">
        <v>2</v>
      </c>
      <c r="I32" s="19">
        <f t="shared" si="3"/>
        <v>16</v>
      </c>
      <c r="J32" s="18">
        <v>1</v>
      </c>
      <c r="K32" s="19">
        <v>4</v>
      </c>
      <c r="L32" s="16">
        <v>17298.02</v>
      </c>
      <c r="M32" s="18">
        <v>2467</v>
      </c>
      <c r="N32" s="20">
        <v>46052</v>
      </c>
      <c r="O32" s="40" t="s">
        <v>37</v>
      </c>
      <c r="P32" s="51"/>
    </row>
    <row r="33" spans="1:16" s="44" customFormat="1" ht="24.9" customHeight="1">
      <c r="A33" s="14">
        <v>31</v>
      </c>
      <c r="B33" s="19">
        <v>21</v>
      </c>
      <c r="C33" s="15" t="s">
        <v>22</v>
      </c>
      <c r="D33" s="16">
        <v>181</v>
      </c>
      <c r="E33" s="16">
        <v>2098.4</v>
      </c>
      <c r="F33" s="17">
        <f>(D33-E33)/E33</f>
        <v>-0.91374380480365991</v>
      </c>
      <c r="G33" s="18">
        <v>27</v>
      </c>
      <c r="H33" s="17" t="s">
        <v>13</v>
      </c>
      <c r="I33" s="17" t="s">
        <v>13</v>
      </c>
      <c r="J33" s="19">
        <v>2</v>
      </c>
      <c r="K33" s="19">
        <v>10</v>
      </c>
      <c r="L33" s="16">
        <v>130180.34000000001</v>
      </c>
      <c r="M33" s="18">
        <v>20772</v>
      </c>
      <c r="N33" s="20">
        <v>46010</v>
      </c>
      <c r="O33" s="40" t="s">
        <v>41</v>
      </c>
      <c r="P33" s="51"/>
    </row>
    <row r="34" spans="1:16" ht="24.9" customHeight="1">
      <c r="A34" s="14">
        <v>32</v>
      </c>
      <c r="B34" s="19">
        <v>17</v>
      </c>
      <c r="C34" s="15" t="s">
        <v>130</v>
      </c>
      <c r="D34" s="16">
        <v>167</v>
      </c>
      <c r="E34" s="16">
        <v>6753</v>
      </c>
      <c r="F34" s="17">
        <f>(D34-E34)/E34</f>
        <v>-0.97527025025914404</v>
      </c>
      <c r="G34" s="18">
        <v>24</v>
      </c>
      <c r="H34" s="17" t="s">
        <v>13</v>
      </c>
      <c r="I34" s="17" t="s">
        <v>13</v>
      </c>
      <c r="J34" s="18">
        <v>1</v>
      </c>
      <c r="K34" s="19">
        <v>2</v>
      </c>
      <c r="L34" s="16">
        <v>10611</v>
      </c>
      <c r="M34" s="18">
        <v>1377</v>
      </c>
      <c r="N34" s="20">
        <v>46066</v>
      </c>
      <c r="O34" s="40" t="s">
        <v>44</v>
      </c>
      <c r="P34" s="51"/>
    </row>
    <row r="35" spans="1:16" s="44" customFormat="1" ht="24.9" customHeight="1">
      <c r="A35" s="14">
        <v>33</v>
      </c>
      <c r="B35" s="19">
        <v>32</v>
      </c>
      <c r="C35" s="15" t="s">
        <v>29</v>
      </c>
      <c r="D35" s="16">
        <v>85</v>
      </c>
      <c r="E35" s="16">
        <v>205</v>
      </c>
      <c r="F35" s="17">
        <f>(D35-E35)/E35</f>
        <v>-0.58536585365853655</v>
      </c>
      <c r="G35" s="18">
        <v>17</v>
      </c>
      <c r="H35" s="18">
        <v>1</v>
      </c>
      <c r="I35" s="19">
        <f>G35/H35</f>
        <v>17</v>
      </c>
      <c r="J35" s="18">
        <v>1</v>
      </c>
      <c r="K35" s="19">
        <v>8</v>
      </c>
      <c r="L35" s="16">
        <v>31311.129999999997</v>
      </c>
      <c r="M35" s="18">
        <v>5505</v>
      </c>
      <c r="N35" s="20">
        <v>46024</v>
      </c>
      <c r="O35" s="40" t="s">
        <v>46</v>
      </c>
      <c r="P35" s="51"/>
    </row>
    <row r="36" spans="1:16" ht="24.9" customHeight="1">
      <c r="A36" s="14">
        <v>34</v>
      </c>
      <c r="B36" s="19">
        <v>22</v>
      </c>
      <c r="C36" s="15" t="s">
        <v>105</v>
      </c>
      <c r="D36" s="16">
        <v>76</v>
      </c>
      <c r="E36" s="16">
        <v>1716</v>
      </c>
      <c r="F36" s="17">
        <f>(D36-E36)/E36</f>
        <v>-0.95571095571095566</v>
      </c>
      <c r="G36" s="18">
        <v>16</v>
      </c>
      <c r="H36" s="17" t="s">
        <v>13</v>
      </c>
      <c r="I36" s="17" t="s">
        <v>13</v>
      </c>
      <c r="J36" s="18">
        <v>1</v>
      </c>
      <c r="K36" s="19">
        <v>4</v>
      </c>
      <c r="L36" s="16">
        <v>22659</v>
      </c>
      <c r="M36" s="18">
        <v>4093</v>
      </c>
      <c r="N36" s="20">
        <v>46052</v>
      </c>
      <c r="O36" s="40" t="s">
        <v>44</v>
      </c>
      <c r="P36" s="51"/>
    </row>
    <row r="37" spans="1:16" s="44" customFormat="1" ht="24.9" customHeight="1">
      <c r="A37" s="14">
        <v>35</v>
      </c>
      <c r="B37" s="16" t="s">
        <v>13</v>
      </c>
      <c r="C37" s="15" t="s">
        <v>142</v>
      </c>
      <c r="D37" s="16">
        <v>51.5</v>
      </c>
      <c r="E37" s="16" t="s">
        <v>13</v>
      </c>
      <c r="F37" s="17" t="s">
        <v>13</v>
      </c>
      <c r="G37" s="18">
        <v>13</v>
      </c>
      <c r="H37" s="18">
        <v>1</v>
      </c>
      <c r="I37" s="19">
        <f>G37/H37</f>
        <v>13</v>
      </c>
      <c r="J37" s="18">
        <v>1</v>
      </c>
      <c r="K37" s="19" t="s">
        <v>13</v>
      </c>
      <c r="L37" s="16">
        <v>51227.6</v>
      </c>
      <c r="M37" s="18">
        <v>10050</v>
      </c>
      <c r="N37" s="20">
        <v>45310</v>
      </c>
      <c r="O37" s="40" t="s">
        <v>42</v>
      </c>
      <c r="P37" s="51"/>
    </row>
    <row r="38" spans="1:16" s="44" customFormat="1" ht="24.9" customHeight="1">
      <c r="A38" s="14">
        <v>36</v>
      </c>
      <c r="B38" s="19" t="s">
        <v>13</v>
      </c>
      <c r="C38" s="15" t="s">
        <v>143</v>
      </c>
      <c r="D38" s="16">
        <v>22.5</v>
      </c>
      <c r="E38" s="16" t="s">
        <v>13</v>
      </c>
      <c r="F38" s="17" t="s">
        <v>13</v>
      </c>
      <c r="G38" s="18">
        <v>6</v>
      </c>
      <c r="H38" s="18">
        <v>1</v>
      </c>
      <c r="I38" s="19">
        <f>G38/H38</f>
        <v>6</v>
      </c>
      <c r="J38" s="18">
        <v>1</v>
      </c>
      <c r="K38" s="19" t="s">
        <v>13</v>
      </c>
      <c r="L38" s="16">
        <v>25425.42</v>
      </c>
      <c r="M38" s="18">
        <v>4610</v>
      </c>
      <c r="N38" s="20">
        <v>45716</v>
      </c>
      <c r="O38" s="40" t="s">
        <v>42</v>
      </c>
      <c r="P38" s="51"/>
    </row>
    <row r="39" spans="1:16" s="44" customFormat="1" ht="24.9" customHeight="1">
      <c r="A39" s="14">
        <v>37</v>
      </c>
      <c r="B39" s="19" t="s">
        <v>13</v>
      </c>
      <c r="C39" s="15" t="s">
        <v>144</v>
      </c>
      <c r="D39" s="16">
        <v>20.399999999999999</v>
      </c>
      <c r="E39" s="16" t="s">
        <v>13</v>
      </c>
      <c r="F39" s="17" t="s">
        <v>13</v>
      </c>
      <c r="G39" s="18">
        <v>4</v>
      </c>
      <c r="H39" s="18">
        <v>1</v>
      </c>
      <c r="I39" s="19">
        <f>G39/H39</f>
        <v>4</v>
      </c>
      <c r="J39" s="18">
        <v>1</v>
      </c>
      <c r="K39" s="19" t="s">
        <v>13</v>
      </c>
      <c r="L39" s="16">
        <v>68645.19</v>
      </c>
      <c r="M39" s="18">
        <v>15192</v>
      </c>
      <c r="N39" s="20">
        <v>44113</v>
      </c>
      <c r="O39" s="40" t="s">
        <v>42</v>
      </c>
      <c r="P39" s="51"/>
    </row>
    <row r="40" spans="1:16" s="44" customFormat="1" ht="24.9" customHeight="1">
      <c r="A40" s="14">
        <v>38</v>
      </c>
      <c r="B40" s="19">
        <v>34</v>
      </c>
      <c r="C40" s="15" t="s">
        <v>69</v>
      </c>
      <c r="D40" s="16">
        <v>10</v>
      </c>
      <c r="E40" s="16">
        <v>105</v>
      </c>
      <c r="F40" s="17">
        <f>(D40-E40)/E40</f>
        <v>-0.90476190476190477</v>
      </c>
      <c r="G40" s="18">
        <v>2</v>
      </c>
      <c r="H40" s="17" t="s">
        <v>13</v>
      </c>
      <c r="I40" s="17" t="s">
        <v>13</v>
      </c>
      <c r="J40" s="18">
        <v>1</v>
      </c>
      <c r="K40" s="19" t="s">
        <v>13</v>
      </c>
      <c r="L40" s="16">
        <v>113790</v>
      </c>
      <c r="M40" s="18">
        <v>21441</v>
      </c>
      <c r="N40" s="20">
        <v>45954</v>
      </c>
      <c r="O40" s="40" t="s">
        <v>44</v>
      </c>
      <c r="P40" s="51"/>
    </row>
    <row r="41" spans="1:16" ht="24.75" customHeight="1">
      <c r="A41" s="25" t="s">
        <v>14</v>
      </c>
      <c r="B41" s="57" t="s">
        <v>14</v>
      </c>
      <c r="C41" s="29" t="s">
        <v>150</v>
      </c>
      <c r="D41" s="27">
        <f>SUBTOTAL(109,Table132456789[Pajamos 
(GBO)])</f>
        <v>556511.54</v>
      </c>
      <c r="E41" s="27" t="s">
        <v>137</v>
      </c>
      <c r="F41" s="43">
        <f>(D41-E41)/E41</f>
        <v>-0.14633816579256978</v>
      </c>
      <c r="G41" s="34">
        <f>SUBTOTAL(109,Table132456789[Žiūrovų sk. 
(ADM)])</f>
        <v>73050</v>
      </c>
      <c r="H41" s="36"/>
      <c r="I41" s="25"/>
      <c r="J41" s="36"/>
      <c r="K41" s="48"/>
      <c r="L41" s="32"/>
      <c r="M41" s="36"/>
      <c r="N41" s="38"/>
      <c r="O41" s="41"/>
      <c r="P41" s="52"/>
    </row>
    <row r="42" spans="1:16"/>
    <row r="43" spans="1:16"/>
    <row r="44" spans="1:16"/>
    <row r="45" spans="1:16"/>
    <row r="46" spans="1:16"/>
    <row r="47" spans="1:16"/>
    <row r="48" spans="1:1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A44A6-736D-4EED-ADF1-7AEF13593286}">
  <sheetPr>
    <pageSetUpPr fitToPage="1"/>
  </sheetPr>
  <dimension ref="A1:XFC99"/>
  <sheetViews>
    <sheetView topLeftCell="A19" zoomScale="60" zoomScaleNormal="60" workbookViewId="0">
      <selection activeCell="O37" sqref="O37"/>
    </sheetView>
  </sheetViews>
  <sheetFormatPr defaultColWidth="0" defaultRowHeight="11.4" zeroHeight="1"/>
  <cols>
    <col min="1" max="2" width="4.75" style="1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6" s="4" customFormat="1" ht="40.5" customHeight="1" thickBot="1">
      <c r="A1" s="96" t="s">
        <v>132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" customFormat="1" ht="24.9" customHeight="1">
      <c r="A3" s="7">
        <v>1</v>
      </c>
      <c r="B3" s="11" t="s">
        <v>49</v>
      </c>
      <c r="C3" s="8" t="s">
        <v>133</v>
      </c>
      <c r="D3" s="9">
        <v>204564.27</v>
      </c>
      <c r="E3" s="10" t="s">
        <v>13</v>
      </c>
      <c r="F3" s="10" t="s">
        <v>13</v>
      </c>
      <c r="G3" s="11">
        <v>25094</v>
      </c>
      <c r="H3" s="11">
        <v>181</v>
      </c>
      <c r="I3" s="12">
        <f>G3/H3</f>
        <v>138.64088397790056</v>
      </c>
      <c r="J3" s="11">
        <v>17</v>
      </c>
      <c r="K3" s="12">
        <v>1</v>
      </c>
      <c r="L3" s="9">
        <v>204564.27</v>
      </c>
      <c r="M3" s="11">
        <v>25094</v>
      </c>
      <c r="N3" s="13">
        <v>46066</v>
      </c>
      <c r="O3" s="39" t="s">
        <v>134</v>
      </c>
      <c r="P3" s="42"/>
    </row>
    <row r="4" spans="1:16" s="2" customFormat="1" ht="24.6" customHeight="1">
      <c r="A4" s="7">
        <v>2</v>
      </c>
      <c r="B4" s="11" t="s">
        <v>49</v>
      </c>
      <c r="C4" s="8" t="s">
        <v>123</v>
      </c>
      <c r="D4" s="9">
        <v>156035.97</v>
      </c>
      <c r="E4" s="10" t="s">
        <v>13</v>
      </c>
      <c r="F4" s="10" t="s">
        <v>13</v>
      </c>
      <c r="G4" s="11">
        <v>16792</v>
      </c>
      <c r="H4" s="11">
        <v>127</v>
      </c>
      <c r="I4" s="12">
        <f>G4/H4</f>
        <v>132.22047244094489</v>
      </c>
      <c r="J4" s="11">
        <v>19</v>
      </c>
      <c r="K4" s="12">
        <v>1</v>
      </c>
      <c r="L4" s="9">
        <v>183034.79</v>
      </c>
      <c r="M4" s="11">
        <v>19483</v>
      </c>
      <c r="N4" s="13">
        <v>46066</v>
      </c>
      <c r="O4" s="39" t="s">
        <v>55</v>
      </c>
      <c r="P4" s="42"/>
    </row>
    <row r="5" spans="1:16" s="2" customFormat="1" ht="24.9" customHeight="1">
      <c r="A5" s="7">
        <v>3</v>
      </c>
      <c r="B5" s="11">
        <v>1</v>
      </c>
      <c r="C5" s="8" t="s">
        <v>89</v>
      </c>
      <c r="D5" s="9">
        <v>42353.51</v>
      </c>
      <c r="E5" s="9">
        <v>94407.3</v>
      </c>
      <c r="F5" s="10">
        <f>(D5-E5)/E5</f>
        <v>-0.55137462886874211</v>
      </c>
      <c r="G5" s="11">
        <v>5081</v>
      </c>
      <c r="H5" s="11">
        <v>57</v>
      </c>
      <c r="I5" s="12">
        <f>G5/H5</f>
        <v>89.140350877192986</v>
      </c>
      <c r="J5" s="11">
        <v>12</v>
      </c>
      <c r="K5" s="12">
        <v>4</v>
      </c>
      <c r="L5" s="9">
        <v>605782.26</v>
      </c>
      <c r="M5" s="11">
        <v>73667</v>
      </c>
      <c r="N5" s="13">
        <v>46045</v>
      </c>
      <c r="O5" s="39" t="s">
        <v>42</v>
      </c>
      <c r="P5" s="42"/>
    </row>
    <row r="6" spans="1:16" s="2" customFormat="1" ht="24.9" customHeight="1">
      <c r="A6" s="7">
        <v>4</v>
      </c>
      <c r="B6" s="11">
        <v>2</v>
      </c>
      <c r="C6" s="8" t="s">
        <v>104</v>
      </c>
      <c r="D6" s="9">
        <v>34810.100000000006</v>
      </c>
      <c r="E6" s="9">
        <v>57603.749999999993</v>
      </c>
      <c r="F6" s="10">
        <f>(D6-E6)/E6</f>
        <v>-0.39569732873293822</v>
      </c>
      <c r="G6" s="11">
        <v>4410</v>
      </c>
      <c r="H6" s="10" t="s">
        <v>13</v>
      </c>
      <c r="I6" s="10" t="s">
        <v>13</v>
      </c>
      <c r="J6" s="11">
        <v>20</v>
      </c>
      <c r="K6" s="12">
        <v>3</v>
      </c>
      <c r="L6" s="9">
        <v>176274.26620000001</v>
      </c>
      <c r="M6" s="11">
        <v>23109</v>
      </c>
      <c r="N6" s="13">
        <v>46052</v>
      </c>
      <c r="O6" s="39" t="s">
        <v>41</v>
      </c>
      <c r="P6" s="42"/>
    </row>
    <row r="7" spans="1:16" s="2" customFormat="1" ht="24.9" customHeight="1">
      <c r="A7" s="7">
        <v>5</v>
      </c>
      <c r="B7" s="11" t="s">
        <v>49</v>
      </c>
      <c r="C7" s="8" t="s">
        <v>135</v>
      </c>
      <c r="D7" s="9">
        <v>22441.8</v>
      </c>
      <c r="E7" s="10" t="s">
        <v>13</v>
      </c>
      <c r="F7" s="10" t="s">
        <v>13</v>
      </c>
      <c r="G7" s="11">
        <v>3716</v>
      </c>
      <c r="H7" s="11">
        <v>91</v>
      </c>
      <c r="I7" s="12">
        <f t="shared" ref="I7:I18" si="0">G7/H7</f>
        <v>40.835164835164832</v>
      </c>
      <c r="J7" s="11">
        <v>18</v>
      </c>
      <c r="K7" s="12">
        <v>1</v>
      </c>
      <c r="L7" s="9">
        <v>22441.8</v>
      </c>
      <c r="M7" s="11">
        <v>3716</v>
      </c>
      <c r="N7" s="13">
        <v>46066</v>
      </c>
      <c r="O7" s="39" t="s">
        <v>46</v>
      </c>
      <c r="P7" s="42"/>
    </row>
    <row r="8" spans="1:16" s="2" customFormat="1" ht="24.6" customHeight="1">
      <c r="A8" s="7">
        <v>6</v>
      </c>
      <c r="B8" s="11">
        <v>3</v>
      </c>
      <c r="C8" s="8" t="s">
        <v>71</v>
      </c>
      <c r="D8" s="9">
        <v>21179</v>
      </c>
      <c r="E8" s="9">
        <v>32655</v>
      </c>
      <c r="F8" s="10">
        <f>(D8-E8)/E8</f>
        <v>-0.3514316337467463</v>
      </c>
      <c r="G8" s="11">
        <v>2718</v>
      </c>
      <c r="H8" s="11">
        <v>40</v>
      </c>
      <c r="I8" s="12">
        <f t="shared" si="0"/>
        <v>67.95</v>
      </c>
      <c r="J8" s="11">
        <v>22</v>
      </c>
      <c r="K8" s="12">
        <v>6</v>
      </c>
      <c r="L8" s="9">
        <v>823637</v>
      </c>
      <c r="M8" s="11">
        <v>109212</v>
      </c>
      <c r="N8" s="13">
        <v>46031</v>
      </c>
      <c r="O8" s="39" t="s">
        <v>74</v>
      </c>
      <c r="P8" s="42"/>
    </row>
    <row r="9" spans="1:16" s="2" customFormat="1" ht="24.6" customHeight="1">
      <c r="A9" s="7">
        <v>7</v>
      </c>
      <c r="B9" s="11">
        <v>5</v>
      </c>
      <c r="C9" s="8" t="s">
        <v>79</v>
      </c>
      <c r="D9" s="9">
        <v>20512.87</v>
      </c>
      <c r="E9" s="9">
        <v>25499.85</v>
      </c>
      <c r="F9" s="10">
        <f>(D9-E9)/E9</f>
        <v>-0.19556899354309926</v>
      </c>
      <c r="G9" s="11">
        <v>3699</v>
      </c>
      <c r="H9" s="11">
        <v>72</v>
      </c>
      <c r="I9" s="12">
        <f t="shared" si="0"/>
        <v>51.375</v>
      </c>
      <c r="J9" s="11">
        <v>17</v>
      </c>
      <c r="K9" s="12">
        <v>5</v>
      </c>
      <c r="L9" s="9">
        <v>238269.81</v>
      </c>
      <c r="M9" s="11">
        <v>42093</v>
      </c>
      <c r="N9" s="13">
        <v>46038</v>
      </c>
      <c r="O9" s="39" t="s">
        <v>42</v>
      </c>
      <c r="P9" s="42"/>
    </row>
    <row r="10" spans="1:16" s="2" customFormat="1" ht="24.6" customHeight="1">
      <c r="A10" s="7">
        <v>8</v>
      </c>
      <c r="B10" s="11">
        <v>6</v>
      </c>
      <c r="C10" s="8" t="s">
        <v>18</v>
      </c>
      <c r="D10" s="23">
        <v>18779.25</v>
      </c>
      <c r="E10" s="9">
        <v>21678.799999999999</v>
      </c>
      <c r="F10" s="10">
        <f>(D10-E10)/E10</f>
        <v>-0.13375048434415185</v>
      </c>
      <c r="G10" s="22">
        <v>2924</v>
      </c>
      <c r="H10" s="11">
        <v>53</v>
      </c>
      <c r="I10" s="12">
        <f t="shared" si="0"/>
        <v>55.169811320754718</v>
      </c>
      <c r="J10" s="11">
        <v>13</v>
      </c>
      <c r="K10" s="12">
        <v>12</v>
      </c>
      <c r="L10" s="23">
        <v>1213539.1200000001</v>
      </c>
      <c r="M10" s="22">
        <v>192836</v>
      </c>
      <c r="N10" s="13">
        <v>45989</v>
      </c>
      <c r="O10" s="39" t="s">
        <v>37</v>
      </c>
      <c r="P10" s="42"/>
    </row>
    <row r="11" spans="1:16" s="2" customFormat="1" ht="24.6" customHeight="1">
      <c r="A11" s="7">
        <v>9</v>
      </c>
      <c r="B11" s="11">
        <v>4</v>
      </c>
      <c r="C11" s="8" t="s">
        <v>16</v>
      </c>
      <c r="D11" s="9">
        <v>17445.18</v>
      </c>
      <c r="E11" s="9">
        <v>28342.62</v>
      </c>
      <c r="F11" s="10">
        <f>(D11-E11)/E11</f>
        <v>-0.38448950732148257</v>
      </c>
      <c r="G11" s="11">
        <v>1867</v>
      </c>
      <c r="H11" s="11">
        <v>22</v>
      </c>
      <c r="I11" s="12">
        <f t="shared" si="0"/>
        <v>84.86363636363636</v>
      </c>
      <c r="J11" s="11">
        <v>7</v>
      </c>
      <c r="K11" s="12">
        <v>9</v>
      </c>
      <c r="L11" s="9">
        <v>1988355.36</v>
      </c>
      <c r="M11" s="11">
        <v>218465</v>
      </c>
      <c r="N11" s="13">
        <v>46010</v>
      </c>
      <c r="O11" s="39" t="s">
        <v>37</v>
      </c>
      <c r="P11" s="42"/>
    </row>
    <row r="12" spans="1:16" s="2" customFormat="1" ht="24.9" customHeight="1">
      <c r="A12" s="7">
        <v>10</v>
      </c>
      <c r="B12" s="11" t="s">
        <v>49</v>
      </c>
      <c r="C12" s="8" t="s">
        <v>124</v>
      </c>
      <c r="D12" s="9">
        <v>17083.84</v>
      </c>
      <c r="E12" s="10" t="s">
        <v>13</v>
      </c>
      <c r="F12" s="10" t="s">
        <v>13</v>
      </c>
      <c r="G12" s="11">
        <v>1995</v>
      </c>
      <c r="H12" s="11">
        <v>39</v>
      </c>
      <c r="I12" s="12">
        <f t="shared" si="0"/>
        <v>51.153846153846153</v>
      </c>
      <c r="J12" s="11">
        <v>11</v>
      </c>
      <c r="K12" s="12">
        <v>1</v>
      </c>
      <c r="L12" s="9">
        <v>17204.740000000002</v>
      </c>
      <c r="M12" s="11">
        <v>2014</v>
      </c>
      <c r="N12" s="13">
        <v>46066</v>
      </c>
      <c r="O12" s="39" t="s">
        <v>39</v>
      </c>
      <c r="P12" s="42"/>
    </row>
    <row r="13" spans="1:16" s="2" customFormat="1" ht="24.9" customHeight="1">
      <c r="A13" s="7">
        <v>11</v>
      </c>
      <c r="B13" s="11" t="s">
        <v>49</v>
      </c>
      <c r="C13" s="8" t="s">
        <v>125</v>
      </c>
      <c r="D13" s="9">
        <v>13929.32</v>
      </c>
      <c r="E13" s="10" t="s">
        <v>13</v>
      </c>
      <c r="F13" s="10" t="s">
        <v>13</v>
      </c>
      <c r="G13" s="11">
        <v>1721</v>
      </c>
      <c r="H13" s="11">
        <v>30</v>
      </c>
      <c r="I13" s="12">
        <f t="shared" si="0"/>
        <v>57.366666666666667</v>
      </c>
      <c r="J13" s="11">
        <v>13</v>
      </c>
      <c r="K13" s="12">
        <v>1</v>
      </c>
      <c r="L13" s="9">
        <v>14001.32</v>
      </c>
      <c r="M13" s="11">
        <v>1729</v>
      </c>
      <c r="N13" s="13">
        <v>46066</v>
      </c>
      <c r="O13" s="39" t="s">
        <v>42</v>
      </c>
      <c r="P13" s="42"/>
    </row>
    <row r="14" spans="1:16" s="2" customFormat="1" ht="24.9" customHeight="1">
      <c r="A14" s="7">
        <v>12</v>
      </c>
      <c r="B14" s="11" t="s">
        <v>53</v>
      </c>
      <c r="C14" s="8" t="s">
        <v>131</v>
      </c>
      <c r="D14" s="9">
        <v>13525.01</v>
      </c>
      <c r="E14" s="10" t="s">
        <v>13</v>
      </c>
      <c r="F14" s="10" t="s">
        <v>13</v>
      </c>
      <c r="G14" s="11">
        <v>1706</v>
      </c>
      <c r="H14" s="11">
        <v>9</v>
      </c>
      <c r="I14" s="12">
        <f t="shared" si="0"/>
        <v>189.55555555555554</v>
      </c>
      <c r="J14" s="11">
        <v>7</v>
      </c>
      <c r="K14" s="12">
        <v>0</v>
      </c>
      <c r="L14" s="9">
        <v>13525.01</v>
      </c>
      <c r="M14" s="11">
        <v>1706</v>
      </c>
      <c r="N14" s="13" t="s">
        <v>45</v>
      </c>
      <c r="O14" s="39" t="s">
        <v>147</v>
      </c>
      <c r="P14" s="42"/>
    </row>
    <row r="15" spans="1:16" s="2" customFormat="1" ht="24.9" customHeight="1">
      <c r="A15" s="7">
        <v>13</v>
      </c>
      <c r="B15" s="11">
        <v>7</v>
      </c>
      <c r="C15" s="8" t="s">
        <v>93</v>
      </c>
      <c r="D15" s="9">
        <v>12645.18</v>
      </c>
      <c r="E15" s="9">
        <v>18860.03</v>
      </c>
      <c r="F15" s="10">
        <f>(D15-E15)/E15</f>
        <v>-0.32952492652450704</v>
      </c>
      <c r="G15" s="11">
        <v>1568</v>
      </c>
      <c r="H15" s="11">
        <v>24</v>
      </c>
      <c r="I15" s="12">
        <f t="shared" si="0"/>
        <v>65.333333333333329</v>
      </c>
      <c r="J15" s="11">
        <v>7</v>
      </c>
      <c r="K15" s="12">
        <v>4</v>
      </c>
      <c r="L15" s="9">
        <v>137141.91</v>
      </c>
      <c r="M15" s="11">
        <v>19007</v>
      </c>
      <c r="N15" s="13">
        <v>46045</v>
      </c>
      <c r="O15" s="39" t="s">
        <v>94</v>
      </c>
      <c r="P15" s="42"/>
    </row>
    <row r="16" spans="1:16" s="21" customFormat="1" ht="24.9" customHeight="1">
      <c r="A16" s="7">
        <v>14</v>
      </c>
      <c r="B16" s="11" t="s">
        <v>53</v>
      </c>
      <c r="C16" s="8" t="s">
        <v>126</v>
      </c>
      <c r="D16" s="9">
        <v>12627.74</v>
      </c>
      <c r="E16" s="10" t="s">
        <v>13</v>
      </c>
      <c r="F16" s="10" t="s">
        <v>13</v>
      </c>
      <c r="G16" s="11">
        <v>2012</v>
      </c>
      <c r="H16" s="11">
        <v>10</v>
      </c>
      <c r="I16" s="12">
        <f t="shared" si="0"/>
        <v>201.2</v>
      </c>
      <c r="J16" s="11">
        <v>10</v>
      </c>
      <c r="K16" s="12">
        <v>0</v>
      </c>
      <c r="L16" s="9">
        <v>12627.74</v>
      </c>
      <c r="M16" s="11">
        <v>2012</v>
      </c>
      <c r="N16" s="13" t="s">
        <v>45</v>
      </c>
      <c r="O16" s="39" t="s">
        <v>39</v>
      </c>
      <c r="P16" s="42"/>
    </row>
    <row r="17" spans="1:16" s="21" customFormat="1" ht="24.9" customHeight="1">
      <c r="A17" s="7">
        <v>15</v>
      </c>
      <c r="B17" s="11">
        <v>9</v>
      </c>
      <c r="C17" s="8" t="s">
        <v>78</v>
      </c>
      <c r="D17" s="9">
        <v>8827.74</v>
      </c>
      <c r="E17" s="9">
        <v>15383.45</v>
      </c>
      <c r="F17" s="10">
        <f>(D17-E17)/E17</f>
        <v>-0.42615343112240756</v>
      </c>
      <c r="G17" s="11">
        <v>1101</v>
      </c>
      <c r="H17" s="11">
        <v>30</v>
      </c>
      <c r="I17" s="12">
        <f t="shared" si="0"/>
        <v>36.700000000000003</v>
      </c>
      <c r="J17" s="11">
        <v>8</v>
      </c>
      <c r="K17" s="12">
        <v>5</v>
      </c>
      <c r="L17" s="9">
        <v>126107.05</v>
      </c>
      <c r="M17" s="11">
        <v>17298</v>
      </c>
      <c r="N17" s="13">
        <v>46038</v>
      </c>
      <c r="O17" s="39" t="s">
        <v>47</v>
      </c>
      <c r="P17" s="42"/>
    </row>
    <row r="18" spans="1:16" s="21" customFormat="1" ht="24.9" customHeight="1">
      <c r="A18" s="7">
        <v>16</v>
      </c>
      <c r="B18" s="11">
        <v>8</v>
      </c>
      <c r="C18" s="8" t="s">
        <v>116</v>
      </c>
      <c r="D18" s="9">
        <v>7447.54</v>
      </c>
      <c r="E18" s="9">
        <v>17318.05</v>
      </c>
      <c r="F18" s="10">
        <f>(D18-E18)/E18</f>
        <v>-0.56995504690193177</v>
      </c>
      <c r="G18" s="11">
        <v>1292</v>
      </c>
      <c r="H18" s="11">
        <v>50</v>
      </c>
      <c r="I18" s="12">
        <f t="shared" si="0"/>
        <v>25.84</v>
      </c>
      <c r="J18" s="11">
        <v>16</v>
      </c>
      <c r="K18" s="12">
        <v>2</v>
      </c>
      <c r="L18" s="9">
        <v>27471.58</v>
      </c>
      <c r="M18" s="11">
        <v>4753</v>
      </c>
      <c r="N18" s="13">
        <v>46059</v>
      </c>
      <c r="O18" s="39" t="s">
        <v>42</v>
      </c>
      <c r="P18" s="42"/>
    </row>
    <row r="19" spans="1:16" s="2" customFormat="1" ht="24.9" customHeight="1">
      <c r="A19" s="7">
        <v>17</v>
      </c>
      <c r="B19" s="11" t="s">
        <v>49</v>
      </c>
      <c r="C19" s="8" t="s">
        <v>130</v>
      </c>
      <c r="D19" s="9">
        <v>6753</v>
      </c>
      <c r="E19" s="9" t="s">
        <v>13</v>
      </c>
      <c r="F19" s="10" t="s">
        <v>13</v>
      </c>
      <c r="G19" s="11">
        <v>841</v>
      </c>
      <c r="H19" s="9" t="s">
        <v>13</v>
      </c>
      <c r="I19" s="10" t="s">
        <v>13</v>
      </c>
      <c r="J19" s="11">
        <v>12</v>
      </c>
      <c r="K19" s="12">
        <v>1</v>
      </c>
      <c r="L19" s="9">
        <v>6753</v>
      </c>
      <c r="M19" s="11">
        <v>841</v>
      </c>
      <c r="N19" s="13">
        <v>46066</v>
      </c>
      <c r="O19" s="39" t="s">
        <v>44</v>
      </c>
      <c r="P19" s="42"/>
    </row>
    <row r="20" spans="1:16" s="2" customFormat="1" ht="24.9" customHeight="1">
      <c r="A20" s="7">
        <v>18</v>
      </c>
      <c r="B20" s="11">
        <v>10</v>
      </c>
      <c r="C20" s="8" t="s">
        <v>113</v>
      </c>
      <c r="D20" s="9">
        <v>6663.46</v>
      </c>
      <c r="E20" s="9">
        <v>10784.82</v>
      </c>
      <c r="F20" s="10">
        <f>(D20-E20)/E20</f>
        <v>-0.38214453277847937</v>
      </c>
      <c r="G20" s="11">
        <v>860</v>
      </c>
      <c r="H20" s="11">
        <v>14</v>
      </c>
      <c r="I20" s="12">
        <f>G20/H20</f>
        <v>61.428571428571431</v>
      </c>
      <c r="J20" s="11">
        <v>5</v>
      </c>
      <c r="K20" s="12">
        <v>2</v>
      </c>
      <c r="L20" s="9">
        <v>22977.54</v>
      </c>
      <c r="M20" s="11">
        <v>3884</v>
      </c>
      <c r="N20" s="13">
        <v>46059</v>
      </c>
      <c r="O20" s="39" t="s">
        <v>119</v>
      </c>
      <c r="P20" s="42"/>
    </row>
    <row r="21" spans="1:16" s="21" customFormat="1" ht="24.9" customHeight="1">
      <c r="A21" s="7">
        <v>19</v>
      </c>
      <c r="B21" s="18" t="s">
        <v>49</v>
      </c>
      <c r="C21" s="15" t="s">
        <v>148</v>
      </c>
      <c r="D21" s="16">
        <v>3738.5</v>
      </c>
      <c r="E21" s="16" t="s">
        <v>13</v>
      </c>
      <c r="F21" s="17" t="s">
        <v>13</v>
      </c>
      <c r="G21" s="18">
        <v>650</v>
      </c>
      <c r="H21" s="18">
        <v>22</v>
      </c>
      <c r="I21" s="19">
        <f>G21/H21</f>
        <v>29.545454545454547</v>
      </c>
      <c r="J21" s="18">
        <v>10</v>
      </c>
      <c r="K21" s="19">
        <v>1</v>
      </c>
      <c r="L21" s="16">
        <v>3738.5</v>
      </c>
      <c r="M21" s="18">
        <v>650</v>
      </c>
      <c r="N21" s="20">
        <v>46066</v>
      </c>
      <c r="O21" s="40" t="s">
        <v>149</v>
      </c>
      <c r="P21" s="51"/>
    </row>
    <row r="22" spans="1:16" s="2" customFormat="1" ht="24.75" customHeight="1">
      <c r="A22" s="7">
        <v>20</v>
      </c>
      <c r="B22" s="11">
        <v>12</v>
      </c>
      <c r="C22" s="8" t="s">
        <v>17</v>
      </c>
      <c r="D22" s="9">
        <v>2673.44</v>
      </c>
      <c r="E22" s="9">
        <v>8150.85</v>
      </c>
      <c r="F22" s="10">
        <f t="shared" ref="F22:F31" si="1">(D22-E22)/E22</f>
        <v>-0.67200476023972955</v>
      </c>
      <c r="G22" s="11">
        <v>438</v>
      </c>
      <c r="H22" s="11">
        <v>65</v>
      </c>
      <c r="I22" s="12">
        <f>G22/H22</f>
        <v>6.7384615384615385</v>
      </c>
      <c r="J22" s="11">
        <v>8</v>
      </c>
      <c r="K22" s="12">
        <v>8</v>
      </c>
      <c r="L22" s="9">
        <v>305100.05</v>
      </c>
      <c r="M22" s="11">
        <v>50253</v>
      </c>
      <c r="N22" s="13">
        <v>46017</v>
      </c>
      <c r="O22" s="39" t="s">
        <v>38</v>
      </c>
      <c r="P22" s="42"/>
    </row>
    <row r="23" spans="1:16" ht="24.75" customHeight="1">
      <c r="A23" s="7">
        <v>21</v>
      </c>
      <c r="B23" s="11">
        <v>20</v>
      </c>
      <c r="C23" s="8" t="s">
        <v>22</v>
      </c>
      <c r="D23" s="9">
        <v>2098.4</v>
      </c>
      <c r="E23" s="9">
        <v>689.54</v>
      </c>
      <c r="F23" s="10">
        <f t="shared" si="1"/>
        <v>2.0431882124314762</v>
      </c>
      <c r="G23" s="11">
        <v>307</v>
      </c>
      <c r="H23" s="10" t="s">
        <v>13</v>
      </c>
      <c r="I23" s="10" t="s">
        <v>13</v>
      </c>
      <c r="J23" s="12">
        <v>4</v>
      </c>
      <c r="K23" s="12">
        <v>9</v>
      </c>
      <c r="L23" s="9">
        <v>129173.44000000002</v>
      </c>
      <c r="M23" s="11">
        <v>20600</v>
      </c>
      <c r="N23" s="13">
        <v>46010</v>
      </c>
      <c r="O23" s="39" t="s">
        <v>41</v>
      </c>
      <c r="P23" s="42"/>
    </row>
    <row r="24" spans="1:16" ht="24.9" customHeight="1">
      <c r="A24" s="7">
        <v>22</v>
      </c>
      <c r="B24" s="11">
        <v>14</v>
      </c>
      <c r="C24" s="8" t="s">
        <v>105</v>
      </c>
      <c r="D24" s="9">
        <v>1716</v>
      </c>
      <c r="E24" s="9">
        <v>6305</v>
      </c>
      <c r="F24" s="10">
        <f t="shared" si="1"/>
        <v>-0.72783505154639172</v>
      </c>
      <c r="G24" s="11">
        <v>317</v>
      </c>
      <c r="H24" s="10" t="s">
        <v>13</v>
      </c>
      <c r="I24" s="10" t="s">
        <v>13</v>
      </c>
      <c r="J24" s="11">
        <v>6</v>
      </c>
      <c r="K24" s="12">
        <v>3</v>
      </c>
      <c r="L24" s="9">
        <v>19007</v>
      </c>
      <c r="M24" s="11">
        <v>3816</v>
      </c>
      <c r="N24" s="13">
        <v>46052</v>
      </c>
      <c r="O24" s="39" t="s">
        <v>44</v>
      </c>
      <c r="P24" s="42"/>
    </row>
    <row r="25" spans="1:16" s="44" customFormat="1" ht="24.9" customHeight="1">
      <c r="A25" s="7">
        <v>23</v>
      </c>
      <c r="B25" s="11">
        <v>11</v>
      </c>
      <c r="C25" s="8" t="s">
        <v>107</v>
      </c>
      <c r="D25" s="9">
        <v>1428.5</v>
      </c>
      <c r="E25" s="9">
        <v>9576.36</v>
      </c>
      <c r="F25" s="10">
        <f t="shared" si="1"/>
        <v>-0.85083058698712244</v>
      </c>
      <c r="G25" s="11">
        <v>160</v>
      </c>
      <c r="H25" s="11">
        <v>3</v>
      </c>
      <c r="I25" s="12">
        <f t="shared" ref="I25:I35" si="2">G25/H25</f>
        <v>53.333333333333336</v>
      </c>
      <c r="J25" s="11">
        <v>2</v>
      </c>
      <c r="K25" s="12">
        <v>3</v>
      </c>
      <c r="L25" s="9">
        <v>36833.410000000003</v>
      </c>
      <c r="M25" s="11">
        <v>4709</v>
      </c>
      <c r="N25" s="13">
        <v>46052</v>
      </c>
      <c r="O25" s="39" t="s">
        <v>42</v>
      </c>
      <c r="P25" s="42"/>
    </row>
    <row r="26" spans="1:16" s="44" customFormat="1" ht="24.9" customHeight="1">
      <c r="A26" s="7">
        <v>24</v>
      </c>
      <c r="B26" s="11">
        <v>18</v>
      </c>
      <c r="C26" s="8" t="s">
        <v>84</v>
      </c>
      <c r="D26" s="9">
        <v>1345.87</v>
      </c>
      <c r="E26" s="9">
        <v>2180.16</v>
      </c>
      <c r="F26" s="10">
        <f t="shared" si="1"/>
        <v>-0.3826737487156906</v>
      </c>
      <c r="G26" s="11">
        <v>184</v>
      </c>
      <c r="H26" s="11">
        <v>3</v>
      </c>
      <c r="I26" s="12">
        <f t="shared" si="2"/>
        <v>61.333333333333336</v>
      </c>
      <c r="J26" s="11">
        <v>3</v>
      </c>
      <c r="K26" s="12">
        <v>5</v>
      </c>
      <c r="L26" s="9">
        <v>33864.879999999997</v>
      </c>
      <c r="M26" s="11">
        <v>5380</v>
      </c>
      <c r="N26" s="13">
        <v>46038</v>
      </c>
      <c r="O26" s="39" t="s">
        <v>207</v>
      </c>
      <c r="P26" s="42"/>
    </row>
    <row r="27" spans="1:16" ht="24.9" customHeight="1">
      <c r="A27" s="7">
        <v>25</v>
      </c>
      <c r="B27" s="11">
        <v>16</v>
      </c>
      <c r="C27" s="8" t="s">
        <v>115</v>
      </c>
      <c r="D27" s="9">
        <v>1039.8699999999999</v>
      </c>
      <c r="E27" s="9">
        <v>4307.3900000000003</v>
      </c>
      <c r="F27" s="10">
        <f t="shared" si="1"/>
        <v>-0.75858466495952315</v>
      </c>
      <c r="G27" s="11">
        <v>144</v>
      </c>
      <c r="H27" s="11">
        <v>5</v>
      </c>
      <c r="I27" s="12">
        <f t="shared" si="2"/>
        <v>28.8</v>
      </c>
      <c r="J27" s="11">
        <v>4</v>
      </c>
      <c r="K27" s="12">
        <v>2</v>
      </c>
      <c r="L27" s="9">
        <v>7610.8200000000006</v>
      </c>
      <c r="M27" s="11">
        <v>1098</v>
      </c>
      <c r="N27" s="13">
        <v>46059</v>
      </c>
      <c r="O27" s="39" t="s">
        <v>46</v>
      </c>
      <c r="P27" s="42"/>
    </row>
    <row r="28" spans="1:16" ht="24.9" customHeight="1">
      <c r="A28" s="7">
        <v>26</v>
      </c>
      <c r="B28" s="11">
        <v>13</v>
      </c>
      <c r="C28" s="8" t="s">
        <v>117</v>
      </c>
      <c r="D28" s="9">
        <v>898</v>
      </c>
      <c r="E28" s="9">
        <v>7545.94</v>
      </c>
      <c r="F28" s="10">
        <f t="shared" si="1"/>
        <v>-0.88099560823436174</v>
      </c>
      <c r="G28" s="11">
        <v>105</v>
      </c>
      <c r="H28" s="11">
        <v>4</v>
      </c>
      <c r="I28" s="12">
        <f t="shared" si="2"/>
        <v>26.25</v>
      </c>
      <c r="J28" s="11">
        <v>3</v>
      </c>
      <c r="K28" s="12">
        <v>2</v>
      </c>
      <c r="L28" s="9">
        <v>10660.64</v>
      </c>
      <c r="M28" s="11">
        <v>1511</v>
      </c>
      <c r="N28" s="13">
        <v>46059</v>
      </c>
      <c r="O28" s="39" t="s">
        <v>51</v>
      </c>
      <c r="P28" s="42"/>
    </row>
    <row r="29" spans="1:16" ht="24.9" customHeight="1">
      <c r="A29" s="7">
        <v>27</v>
      </c>
      <c r="B29" s="11">
        <v>22</v>
      </c>
      <c r="C29" s="8" t="s">
        <v>52</v>
      </c>
      <c r="D29" s="9">
        <v>712.46</v>
      </c>
      <c r="E29" s="9">
        <v>620.45000000000005</v>
      </c>
      <c r="F29" s="10">
        <f t="shared" si="1"/>
        <v>0.14829559190909822</v>
      </c>
      <c r="G29" s="11">
        <v>181</v>
      </c>
      <c r="H29" s="11">
        <v>4</v>
      </c>
      <c r="I29" s="12">
        <f t="shared" si="2"/>
        <v>45.25</v>
      </c>
      <c r="J29" s="11">
        <v>2</v>
      </c>
      <c r="K29" s="12">
        <v>6</v>
      </c>
      <c r="L29" s="9">
        <v>38480.410000000003</v>
      </c>
      <c r="M29" s="11">
        <v>6685</v>
      </c>
      <c r="N29" s="13">
        <v>46031</v>
      </c>
      <c r="O29" s="39" t="s">
        <v>42</v>
      </c>
      <c r="P29" s="42"/>
    </row>
    <row r="30" spans="1:16" ht="24.9" customHeight="1">
      <c r="A30" s="7">
        <v>28</v>
      </c>
      <c r="B30" s="11">
        <v>17</v>
      </c>
      <c r="C30" s="8" t="s">
        <v>108</v>
      </c>
      <c r="D30" s="9">
        <v>585</v>
      </c>
      <c r="E30" s="9">
        <v>2629.97</v>
      </c>
      <c r="F30" s="10">
        <f t="shared" si="1"/>
        <v>-0.77756400263120873</v>
      </c>
      <c r="G30" s="11">
        <v>75</v>
      </c>
      <c r="H30" s="11">
        <v>2</v>
      </c>
      <c r="I30" s="12">
        <f t="shared" si="2"/>
        <v>37.5</v>
      </c>
      <c r="J30" s="11">
        <v>1</v>
      </c>
      <c r="K30" s="12">
        <v>3</v>
      </c>
      <c r="L30" s="9">
        <v>17062.02</v>
      </c>
      <c r="M30" s="11">
        <v>2435</v>
      </c>
      <c r="N30" s="13">
        <v>46052</v>
      </c>
      <c r="O30" s="39" t="s">
        <v>37</v>
      </c>
      <c r="P30" s="42"/>
    </row>
    <row r="31" spans="1:16" ht="24.9" customHeight="1">
      <c r="A31" s="7">
        <v>29</v>
      </c>
      <c r="B31" s="11">
        <v>21</v>
      </c>
      <c r="C31" s="8" t="s">
        <v>50</v>
      </c>
      <c r="D31" s="9">
        <v>492</v>
      </c>
      <c r="E31" s="9">
        <v>677.7</v>
      </c>
      <c r="F31" s="10">
        <f t="shared" si="1"/>
        <v>-0.27401505090748124</v>
      </c>
      <c r="G31" s="11">
        <v>59</v>
      </c>
      <c r="H31" s="11">
        <v>3</v>
      </c>
      <c r="I31" s="12">
        <f t="shared" si="2"/>
        <v>19.666666666666668</v>
      </c>
      <c r="J31" s="11">
        <v>1</v>
      </c>
      <c r="K31" s="12">
        <v>7</v>
      </c>
      <c r="L31" s="9">
        <v>47932.71</v>
      </c>
      <c r="M31" s="11">
        <v>7081</v>
      </c>
      <c r="N31" s="13">
        <v>46024</v>
      </c>
      <c r="O31" s="39" t="s">
        <v>51</v>
      </c>
      <c r="P31" s="42"/>
    </row>
    <row r="32" spans="1:16" ht="24.9" customHeight="1">
      <c r="A32" s="7">
        <v>30</v>
      </c>
      <c r="B32" s="11" t="s">
        <v>49</v>
      </c>
      <c r="C32" s="15" t="s">
        <v>122</v>
      </c>
      <c r="D32" s="16">
        <v>346.55</v>
      </c>
      <c r="E32" s="10" t="s">
        <v>13</v>
      </c>
      <c r="F32" s="10" t="s">
        <v>13</v>
      </c>
      <c r="G32" s="18">
        <v>50</v>
      </c>
      <c r="H32" s="11">
        <v>7</v>
      </c>
      <c r="I32" s="12">
        <f t="shared" si="2"/>
        <v>7.1428571428571432</v>
      </c>
      <c r="J32" s="11">
        <v>4</v>
      </c>
      <c r="K32" s="12">
        <v>1</v>
      </c>
      <c r="L32" s="9">
        <v>346.55</v>
      </c>
      <c r="M32" s="11">
        <v>50</v>
      </c>
      <c r="N32" s="13">
        <v>46066</v>
      </c>
      <c r="O32" s="39" t="s">
        <v>43</v>
      </c>
      <c r="P32" s="53"/>
    </row>
    <row r="33" spans="1:16" ht="24.9" customHeight="1">
      <c r="A33" s="7">
        <v>31</v>
      </c>
      <c r="B33" s="10" t="s">
        <v>13</v>
      </c>
      <c r="C33" s="8" t="s">
        <v>127</v>
      </c>
      <c r="D33" s="9">
        <v>283.5</v>
      </c>
      <c r="E33" s="10" t="s">
        <v>13</v>
      </c>
      <c r="F33" s="10" t="s">
        <v>13</v>
      </c>
      <c r="G33" s="11">
        <v>45</v>
      </c>
      <c r="H33" s="11">
        <v>1</v>
      </c>
      <c r="I33" s="12">
        <f t="shared" si="2"/>
        <v>45</v>
      </c>
      <c r="J33" s="11">
        <v>1</v>
      </c>
      <c r="K33" s="10" t="s">
        <v>13</v>
      </c>
      <c r="L33" s="9">
        <v>83287.929999999993</v>
      </c>
      <c r="M33" s="11">
        <v>12125</v>
      </c>
      <c r="N33" s="13">
        <v>45765</v>
      </c>
      <c r="O33" s="39" t="s">
        <v>55</v>
      </c>
      <c r="P33" s="42"/>
    </row>
    <row r="34" spans="1:16" ht="24.9" customHeight="1">
      <c r="A34" s="7">
        <v>32</v>
      </c>
      <c r="B34" s="11">
        <v>24</v>
      </c>
      <c r="C34" s="8" t="s">
        <v>29</v>
      </c>
      <c r="D34" s="9">
        <v>205</v>
      </c>
      <c r="E34" s="9">
        <v>160</v>
      </c>
      <c r="F34" s="10">
        <f>(D34-E34)/E34</f>
        <v>0.28125</v>
      </c>
      <c r="G34" s="11">
        <v>41</v>
      </c>
      <c r="H34" s="11">
        <v>2</v>
      </c>
      <c r="I34" s="12">
        <f t="shared" si="2"/>
        <v>20.5</v>
      </c>
      <c r="J34" s="11">
        <v>1</v>
      </c>
      <c r="K34" s="12">
        <v>7</v>
      </c>
      <c r="L34" s="9">
        <v>31226.129999999997</v>
      </c>
      <c r="M34" s="11">
        <v>5488</v>
      </c>
      <c r="N34" s="13">
        <v>46024</v>
      </c>
      <c r="O34" s="39" t="s">
        <v>46</v>
      </c>
      <c r="P34" s="42"/>
    </row>
    <row r="35" spans="1:16" ht="24.9" customHeight="1">
      <c r="A35" s="7">
        <v>33</v>
      </c>
      <c r="B35" s="11" t="s">
        <v>13</v>
      </c>
      <c r="C35" s="8" t="s">
        <v>91</v>
      </c>
      <c r="D35" s="9">
        <v>203.38</v>
      </c>
      <c r="E35" s="10" t="s">
        <v>13</v>
      </c>
      <c r="F35" s="10" t="s">
        <v>13</v>
      </c>
      <c r="G35" s="11">
        <v>51</v>
      </c>
      <c r="H35" s="11">
        <v>1</v>
      </c>
      <c r="I35" s="12">
        <f t="shared" si="2"/>
        <v>51</v>
      </c>
      <c r="J35" s="11">
        <v>1</v>
      </c>
      <c r="K35" s="10" t="s">
        <v>13</v>
      </c>
      <c r="L35" s="9">
        <v>88671.75</v>
      </c>
      <c r="M35" s="11">
        <v>18323</v>
      </c>
      <c r="N35" s="13">
        <v>44855</v>
      </c>
      <c r="O35" s="39" t="s">
        <v>42</v>
      </c>
      <c r="P35" s="42"/>
    </row>
    <row r="36" spans="1:16" ht="24.9" customHeight="1">
      <c r="A36" s="7">
        <v>34</v>
      </c>
      <c r="B36" s="11" t="s">
        <v>13</v>
      </c>
      <c r="C36" s="8" t="s">
        <v>69</v>
      </c>
      <c r="D36" s="9">
        <v>105</v>
      </c>
      <c r="E36" s="10" t="s">
        <v>13</v>
      </c>
      <c r="F36" s="10" t="s">
        <v>13</v>
      </c>
      <c r="G36" s="11">
        <v>21</v>
      </c>
      <c r="H36" s="10" t="s">
        <v>13</v>
      </c>
      <c r="I36" s="10" t="s">
        <v>13</v>
      </c>
      <c r="J36" s="11">
        <v>1</v>
      </c>
      <c r="K36" s="10" t="s">
        <v>13</v>
      </c>
      <c r="L36" s="9">
        <v>113780</v>
      </c>
      <c r="M36" s="11">
        <v>21439</v>
      </c>
      <c r="N36" s="13">
        <v>45954</v>
      </c>
      <c r="O36" s="39" t="s">
        <v>44</v>
      </c>
      <c r="P36" s="42"/>
    </row>
    <row r="37" spans="1:16" ht="24.9" customHeight="1">
      <c r="A37" s="7">
        <v>35</v>
      </c>
      <c r="B37" s="11" t="s">
        <v>13</v>
      </c>
      <c r="C37" s="8" t="s">
        <v>121</v>
      </c>
      <c r="D37" s="9">
        <v>63</v>
      </c>
      <c r="E37" s="10" t="s">
        <v>13</v>
      </c>
      <c r="F37" s="10" t="s">
        <v>13</v>
      </c>
      <c r="G37" s="11">
        <v>22</v>
      </c>
      <c r="H37" s="11">
        <v>1</v>
      </c>
      <c r="I37" s="12">
        <f>G37/H37</f>
        <v>22</v>
      </c>
      <c r="J37" s="11">
        <v>1</v>
      </c>
      <c r="K37" s="10" t="s">
        <v>13</v>
      </c>
      <c r="L37" s="9">
        <v>182636.68</v>
      </c>
      <c r="M37" s="11">
        <v>31554</v>
      </c>
      <c r="N37" s="13">
        <v>44834</v>
      </c>
      <c r="O37" s="39" t="s">
        <v>47</v>
      </c>
      <c r="P37" s="42"/>
    </row>
    <row r="38" spans="1:16" s="44" customFormat="1" ht="24.9" customHeight="1">
      <c r="A38" s="7">
        <v>36</v>
      </c>
      <c r="B38" s="10" t="s">
        <v>13</v>
      </c>
      <c r="C38" s="8" t="s">
        <v>128</v>
      </c>
      <c r="D38" s="9">
        <v>45.6</v>
      </c>
      <c r="E38" s="10" t="s">
        <v>13</v>
      </c>
      <c r="F38" s="10" t="s">
        <v>13</v>
      </c>
      <c r="G38" s="11">
        <v>10</v>
      </c>
      <c r="H38" s="11">
        <v>1</v>
      </c>
      <c r="I38" s="12">
        <f>G38/H38</f>
        <v>10</v>
      </c>
      <c r="J38" s="11">
        <v>1</v>
      </c>
      <c r="K38" s="10" t="s">
        <v>13</v>
      </c>
      <c r="L38" s="9">
        <v>56226.92</v>
      </c>
      <c r="M38" s="11">
        <v>13612</v>
      </c>
      <c r="N38" s="13">
        <v>43560</v>
      </c>
      <c r="O38" s="39" t="s">
        <v>42</v>
      </c>
      <c r="P38" s="42"/>
    </row>
    <row r="39" spans="1:16" ht="24.9" customHeight="1">
      <c r="A39" s="7">
        <v>37</v>
      </c>
      <c r="B39" s="10" t="s">
        <v>13</v>
      </c>
      <c r="C39" s="8" t="s">
        <v>129</v>
      </c>
      <c r="D39" s="9">
        <v>44.4</v>
      </c>
      <c r="E39" s="10" t="s">
        <v>13</v>
      </c>
      <c r="F39" s="10" t="s">
        <v>13</v>
      </c>
      <c r="G39" s="11">
        <v>8</v>
      </c>
      <c r="H39" s="11">
        <v>1</v>
      </c>
      <c r="I39" s="12">
        <f>G39/H39</f>
        <v>8</v>
      </c>
      <c r="J39" s="11">
        <v>1</v>
      </c>
      <c r="K39" s="10" t="s">
        <v>13</v>
      </c>
      <c r="L39" s="9">
        <v>278368.67</v>
      </c>
      <c r="M39" s="11">
        <v>66821</v>
      </c>
      <c r="N39" s="13">
        <v>45814</v>
      </c>
      <c r="O39" s="39" t="s">
        <v>40</v>
      </c>
      <c r="P39" s="42"/>
    </row>
    <row r="40" spans="1:16" ht="24.75" customHeight="1">
      <c r="A40" s="25" t="s">
        <v>14</v>
      </c>
      <c r="B40" s="57" t="s">
        <v>14</v>
      </c>
      <c r="C40" s="29" t="s">
        <v>146</v>
      </c>
      <c r="D40" s="27">
        <f>SUBTOTAL(109,Table13245678[Pajamos 
(GBO)])</f>
        <v>655649.24999999988</v>
      </c>
      <c r="E40" s="27" t="s">
        <v>120</v>
      </c>
      <c r="F40" s="43">
        <f>(D40-E40)/E40</f>
        <v>0.7630145660959794</v>
      </c>
      <c r="G40" s="34">
        <f>SUBTOTAL(109,Table13245678[Žiūrovų sk. 
(ADM)])</f>
        <v>82265</v>
      </c>
      <c r="H40" s="36"/>
      <c r="I40" s="25"/>
      <c r="J40" s="36"/>
      <c r="K40" s="48"/>
      <c r="L40" s="32"/>
      <c r="M40" s="36"/>
      <c r="N40" s="38"/>
      <c r="O40" s="41"/>
      <c r="P40" s="52"/>
    </row>
    <row r="41" spans="1:16"/>
    <row r="42" spans="1:16"/>
    <row r="43" spans="1:16"/>
    <row r="44" spans="1:16"/>
    <row r="45" spans="1:16"/>
    <row r="46" spans="1:16"/>
    <row r="47" spans="1:16"/>
    <row r="48" spans="1:1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D497F-D4FC-4C44-A07A-EC5444B04429}">
  <sheetPr>
    <pageSetUpPr fitToPage="1"/>
  </sheetPr>
  <dimension ref="A1:XFC82"/>
  <sheetViews>
    <sheetView topLeftCell="A3" zoomScale="60" zoomScaleNormal="60" workbookViewId="0">
      <selection activeCell="O11" sqref="O11"/>
    </sheetView>
  </sheetViews>
  <sheetFormatPr defaultColWidth="0" defaultRowHeight="11.4" zeroHeight="1"/>
  <cols>
    <col min="1" max="2" width="4.75" style="1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6" s="4" customFormat="1" ht="40.5" customHeight="1" thickBot="1">
      <c r="A1" s="96" t="s">
        <v>111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1" customFormat="1" ht="24.9" customHeight="1">
      <c r="A3" s="14">
        <v>1</v>
      </c>
      <c r="B3" s="19">
        <v>1</v>
      </c>
      <c r="C3" s="15" t="s">
        <v>89</v>
      </c>
      <c r="D3" s="16">
        <v>94407.3</v>
      </c>
      <c r="E3" s="16">
        <v>122417.87</v>
      </c>
      <c r="F3" s="17">
        <f t="shared" ref="F3:F9" si="0">(D3-E3)/E3</f>
        <v>-0.22881112046795124</v>
      </c>
      <c r="G3" s="18">
        <v>10375</v>
      </c>
      <c r="H3" s="18">
        <v>115</v>
      </c>
      <c r="I3" s="19">
        <f>G3/H3</f>
        <v>90.217391304347828</v>
      </c>
      <c r="J3" s="18">
        <v>16</v>
      </c>
      <c r="K3" s="19">
        <v>3</v>
      </c>
      <c r="L3" s="16">
        <v>529935.92000000004</v>
      </c>
      <c r="M3" s="18">
        <v>64463</v>
      </c>
      <c r="N3" s="20">
        <v>46045</v>
      </c>
      <c r="O3" s="40" t="s">
        <v>42</v>
      </c>
      <c r="P3" s="51"/>
    </row>
    <row r="4" spans="1:16" s="21" customFormat="1" ht="24.6" customHeight="1">
      <c r="A4" s="14">
        <v>2</v>
      </c>
      <c r="B4" s="19">
        <v>2</v>
      </c>
      <c r="C4" s="15" t="s">
        <v>104</v>
      </c>
      <c r="D4" s="16">
        <v>57603.749999999993</v>
      </c>
      <c r="E4" s="16">
        <v>43641.306200000006</v>
      </c>
      <c r="F4" s="17">
        <f t="shared" si="0"/>
        <v>0.31993643215014461</v>
      </c>
      <c r="G4" s="18">
        <v>6596</v>
      </c>
      <c r="H4" s="17" t="s">
        <v>13</v>
      </c>
      <c r="I4" s="17" t="s">
        <v>13</v>
      </c>
      <c r="J4" s="18">
        <v>23</v>
      </c>
      <c r="K4" s="19">
        <v>2</v>
      </c>
      <c r="L4" s="16">
        <v>127107.54620000001</v>
      </c>
      <c r="M4" s="18">
        <v>16478</v>
      </c>
      <c r="N4" s="20">
        <v>46052</v>
      </c>
      <c r="O4" s="40" t="s">
        <v>41</v>
      </c>
      <c r="P4" s="51"/>
    </row>
    <row r="5" spans="1:16" s="21" customFormat="1" ht="24.9" customHeight="1">
      <c r="A5" s="14">
        <v>3</v>
      </c>
      <c r="B5" s="19">
        <v>4</v>
      </c>
      <c r="C5" s="15" t="s">
        <v>71</v>
      </c>
      <c r="D5" s="16">
        <v>32655</v>
      </c>
      <c r="E5" s="16">
        <v>37678</v>
      </c>
      <c r="F5" s="17">
        <f t="shared" si="0"/>
        <v>-0.13331387016295981</v>
      </c>
      <c r="G5" s="18">
        <v>4191</v>
      </c>
      <c r="H5" s="18">
        <v>40</v>
      </c>
      <c r="I5" s="19">
        <f t="shared" ref="I5:I15" si="1">G5/H5</f>
        <v>104.77500000000001</v>
      </c>
      <c r="J5" s="18">
        <v>22</v>
      </c>
      <c r="K5" s="19">
        <v>5</v>
      </c>
      <c r="L5" s="16">
        <v>777268</v>
      </c>
      <c r="M5" s="18">
        <v>103170</v>
      </c>
      <c r="N5" s="20">
        <v>46031</v>
      </c>
      <c r="O5" s="40" t="s">
        <v>74</v>
      </c>
      <c r="P5" s="51"/>
    </row>
    <row r="6" spans="1:16" s="21" customFormat="1" ht="24.9" customHeight="1">
      <c r="A6" s="14">
        <v>4</v>
      </c>
      <c r="B6" s="19">
        <v>3</v>
      </c>
      <c r="C6" s="15" t="s">
        <v>16</v>
      </c>
      <c r="D6" s="16">
        <v>28342.62</v>
      </c>
      <c r="E6" s="16">
        <v>42060.67</v>
      </c>
      <c r="F6" s="17">
        <f t="shared" si="0"/>
        <v>-0.32614910794335894</v>
      </c>
      <c r="G6" s="18">
        <v>2904</v>
      </c>
      <c r="H6" s="18">
        <v>43</v>
      </c>
      <c r="I6" s="19">
        <f t="shared" si="1"/>
        <v>67.534883720930239</v>
      </c>
      <c r="J6" s="18">
        <v>11</v>
      </c>
      <c r="K6" s="19">
        <v>8</v>
      </c>
      <c r="L6" s="16">
        <v>1963236.15</v>
      </c>
      <c r="M6" s="18">
        <v>215707</v>
      </c>
      <c r="N6" s="20">
        <v>46010</v>
      </c>
      <c r="O6" s="40" t="s">
        <v>37</v>
      </c>
      <c r="P6" s="51"/>
    </row>
    <row r="7" spans="1:16" s="21" customFormat="1" ht="24.9" customHeight="1">
      <c r="A7" s="14">
        <v>5</v>
      </c>
      <c r="B7" s="19">
        <v>5</v>
      </c>
      <c r="C7" s="15" t="s">
        <v>79</v>
      </c>
      <c r="D7" s="16">
        <v>25499.85</v>
      </c>
      <c r="E7" s="16">
        <v>31578.1</v>
      </c>
      <c r="F7" s="17">
        <f t="shared" si="0"/>
        <v>-0.19248308162935707</v>
      </c>
      <c r="G7" s="18">
        <v>4192</v>
      </c>
      <c r="H7" s="18">
        <v>100</v>
      </c>
      <c r="I7" s="19">
        <f t="shared" si="1"/>
        <v>41.92</v>
      </c>
      <c r="J7" s="18">
        <v>18</v>
      </c>
      <c r="K7" s="19">
        <v>4</v>
      </c>
      <c r="L7" s="16">
        <v>205360.41</v>
      </c>
      <c r="M7" s="18">
        <v>35932</v>
      </c>
      <c r="N7" s="20">
        <v>46038</v>
      </c>
      <c r="O7" s="40" t="s">
        <v>42</v>
      </c>
      <c r="P7" s="51"/>
    </row>
    <row r="8" spans="1:16" s="21" customFormat="1" ht="24.6" customHeight="1">
      <c r="A8" s="14">
        <v>6</v>
      </c>
      <c r="B8" s="19">
        <v>7</v>
      </c>
      <c r="C8" s="15" t="s">
        <v>18</v>
      </c>
      <c r="D8" s="45">
        <v>21678.799999999999</v>
      </c>
      <c r="E8" s="16">
        <v>22901.040000000001</v>
      </c>
      <c r="F8" s="17">
        <f t="shared" si="0"/>
        <v>-5.3370501951003166E-2</v>
      </c>
      <c r="G8" s="46">
        <v>3367</v>
      </c>
      <c r="H8" s="18">
        <v>62</v>
      </c>
      <c r="I8" s="19">
        <f t="shared" si="1"/>
        <v>54.306451612903224</v>
      </c>
      <c r="J8" s="18">
        <v>13</v>
      </c>
      <c r="K8" s="19">
        <v>11</v>
      </c>
      <c r="L8" s="45">
        <v>1192020.6299999999</v>
      </c>
      <c r="M8" s="46">
        <v>189354</v>
      </c>
      <c r="N8" s="20">
        <v>45989</v>
      </c>
      <c r="O8" s="40" t="s">
        <v>37</v>
      </c>
      <c r="P8" s="51"/>
    </row>
    <row r="9" spans="1:16" s="21" customFormat="1" ht="24.6" customHeight="1">
      <c r="A9" s="14">
        <v>7</v>
      </c>
      <c r="B9" s="19">
        <v>6</v>
      </c>
      <c r="C9" s="15" t="s">
        <v>93</v>
      </c>
      <c r="D9" s="16">
        <v>18860.03</v>
      </c>
      <c r="E9" s="16">
        <v>26813.85</v>
      </c>
      <c r="F9" s="17">
        <f t="shared" si="0"/>
        <v>-0.29663103209721842</v>
      </c>
      <c r="G9" s="18">
        <v>2368</v>
      </c>
      <c r="H9" s="18">
        <v>46</v>
      </c>
      <c r="I9" s="19">
        <f t="shared" si="1"/>
        <v>51.478260869565219</v>
      </c>
      <c r="J9" s="18">
        <v>11</v>
      </c>
      <c r="K9" s="19">
        <v>3</v>
      </c>
      <c r="L9" s="16">
        <v>118535.74</v>
      </c>
      <c r="M9" s="18">
        <v>16542</v>
      </c>
      <c r="N9" s="20">
        <v>46045</v>
      </c>
      <c r="O9" s="40" t="s">
        <v>94</v>
      </c>
      <c r="P9" s="51"/>
    </row>
    <row r="10" spans="1:16" s="21" customFormat="1" ht="24.6" customHeight="1">
      <c r="A10" s="14">
        <v>8</v>
      </c>
      <c r="B10" s="19" t="s">
        <v>49</v>
      </c>
      <c r="C10" s="15" t="s">
        <v>116</v>
      </c>
      <c r="D10" s="16">
        <v>17318.05</v>
      </c>
      <c r="E10" s="16" t="s">
        <v>13</v>
      </c>
      <c r="F10" s="17" t="s">
        <v>13</v>
      </c>
      <c r="G10" s="18">
        <v>2904</v>
      </c>
      <c r="H10" s="18">
        <v>91</v>
      </c>
      <c r="I10" s="19">
        <f t="shared" si="1"/>
        <v>31.912087912087912</v>
      </c>
      <c r="J10" s="18">
        <v>19</v>
      </c>
      <c r="K10" s="19">
        <v>1</v>
      </c>
      <c r="L10" s="16">
        <v>17318.05</v>
      </c>
      <c r="M10" s="18">
        <v>2904</v>
      </c>
      <c r="N10" s="20">
        <v>46059</v>
      </c>
      <c r="O10" s="40" t="s">
        <v>42</v>
      </c>
      <c r="P10" s="51"/>
    </row>
    <row r="11" spans="1:16" s="21" customFormat="1" ht="24.6" customHeight="1">
      <c r="A11" s="14">
        <v>9</v>
      </c>
      <c r="B11" s="19">
        <v>8</v>
      </c>
      <c r="C11" s="15" t="s">
        <v>78</v>
      </c>
      <c r="D11" s="16">
        <v>15383.45</v>
      </c>
      <c r="E11" s="16">
        <v>17083.669999999998</v>
      </c>
      <c r="F11" s="17">
        <f>(D11-E11)/E11</f>
        <v>-9.9523111837210493E-2</v>
      </c>
      <c r="G11" s="18">
        <v>1986</v>
      </c>
      <c r="H11" s="18">
        <v>45</v>
      </c>
      <c r="I11" s="19">
        <f t="shared" si="1"/>
        <v>44.133333333333333</v>
      </c>
      <c r="J11" s="18">
        <v>14</v>
      </c>
      <c r="K11" s="19">
        <v>4</v>
      </c>
      <c r="L11" s="16">
        <v>110403.8</v>
      </c>
      <c r="M11" s="18">
        <v>15137</v>
      </c>
      <c r="N11" s="20">
        <v>46038</v>
      </c>
      <c r="O11" s="40" t="s">
        <v>47</v>
      </c>
      <c r="P11" s="51"/>
    </row>
    <row r="12" spans="1:16" s="21" customFormat="1" ht="24.9" customHeight="1">
      <c r="A12" s="14">
        <v>10</v>
      </c>
      <c r="B12" s="19" t="s">
        <v>49</v>
      </c>
      <c r="C12" s="15" t="s">
        <v>113</v>
      </c>
      <c r="D12" s="16">
        <v>10784.82</v>
      </c>
      <c r="E12" s="17" t="s">
        <v>13</v>
      </c>
      <c r="F12" s="17" t="s">
        <v>13</v>
      </c>
      <c r="G12" s="18">
        <v>2081</v>
      </c>
      <c r="H12" s="18">
        <v>54</v>
      </c>
      <c r="I12" s="19">
        <f t="shared" si="1"/>
        <v>38.537037037037038</v>
      </c>
      <c r="J12" s="18">
        <v>13</v>
      </c>
      <c r="K12" s="19">
        <v>1</v>
      </c>
      <c r="L12" s="16">
        <v>10784.82</v>
      </c>
      <c r="M12" s="18">
        <v>2081</v>
      </c>
      <c r="N12" s="20">
        <v>46059</v>
      </c>
      <c r="O12" s="40" t="s">
        <v>119</v>
      </c>
      <c r="P12" s="51"/>
    </row>
    <row r="13" spans="1:16" s="21" customFormat="1" ht="24.9" customHeight="1">
      <c r="A13" s="14">
        <v>11</v>
      </c>
      <c r="B13" s="19">
        <v>9</v>
      </c>
      <c r="C13" s="15" t="s">
        <v>107</v>
      </c>
      <c r="D13" s="16">
        <v>9576.36</v>
      </c>
      <c r="E13" s="16">
        <v>16184.16</v>
      </c>
      <c r="F13" s="17">
        <f>(D13-E13)/E13</f>
        <v>-0.40828810392383658</v>
      </c>
      <c r="G13" s="18">
        <v>1116</v>
      </c>
      <c r="H13" s="18">
        <v>27</v>
      </c>
      <c r="I13" s="19">
        <f t="shared" si="1"/>
        <v>41.333333333333336</v>
      </c>
      <c r="J13" s="18">
        <v>8</v>
      </c>
      <c r="K13" s="19">
        <v>2</v>
      </c>
      <c r="L13" s="16">
        <v>32544.15</v>
      </c>
      <c r="M13" s="18">
        <v>4171</v>
      </c>
      <c r="N13" s="20">
        <v>46052</v>
      </c>
      <c r="O13" s="40" t="s">
        <v>42</v>
      </c>
      <c r="P13" s="51"/>
    </row>
    <row r="14" spans="1:16" s="21" customFormat="1" ht="24.9" customHeight="1">
      <c r="A14" s="14">
        <v>12</v>
      </c>
      <c r="B14" s="19">
        <v>11</v>
      </c>
      <c r="C14" s="15" t="s">
        <v>17</v>
      </c>
      <c r="D14" s="16">
        <v>8150.85</v>
      </c>
      <c r="E14" s="16">
        <v>8996.9</v>
      </c>
      <c r="F14" s="17">
        <f>(D14-E14)/E14</f>
        <v>-9.4037946403761216E-2</v>
      </c>
      <c r="G14" s="18">
        <v>1298</v>
      </c>
      <c r="H14" s="18">
        <v>32</v>
      </c>
      <c r="I14" s="19">
        <f t="shared" si="1"/>
        <v>40.5625</v>
      </c>
      <c r="J14" s="18">
        <v>8</v>
      </c>
      <c r="K14" s="19">
        <v>7</v>
      </c>
      <c r="L14" s="16">
        <v>301742.56</v>
      </c>
      <c r="M14" s="18">
        <v>49686</v>
      </c>
      <c r="N14" s="20">
        <v>46017</v>
      </c>
      <c r="O14" s="40" t="s">
        <v>38</v>
      </c>
      <c r="P14" s="51"/>
    </row>
    <row r="15" spans="1:16" s="2" customFormat="1" ht="24.9" customHeight="1">
      <c r="A15" s="14">
        <v>13</v>
      </c>
      <c r="B15" s="19" t="s">
        <v>49</v>
      </c>
      <c r="C15" s="15" t="s">
        <v>117</v>
      </c>
      <c r="D15" s="16">
        <v>7545.94</v>
      </c>
      <c r="E15" s="16" t="s">
        <v>13</v>
      </c>
      <c r="F15" s="17" t="s">
        <v>13</v>
      </c>
      <c r="G15" s="18">
        <v>1068</v>
      </c>
      <c r="H15" s="18">
        <v>20</v>
      </c>
      <c r="I15" s="19">
        <f t="shared" si="1"/>
        <v>53.4</v>
      </c>
      <c r="J15" s="18">
        <v>10</v>
      </c>
      <c r="K15" s="19">
        <v>1</v>
      </c>
      <c r="L15" s="16">
        <v>7545.94</v>
      </c>
      <c r="M15" s="18">
        <v>1068</v>
      </c>
      <c r="N15" s="20">
        <v>46059</v>
      </c>
      <c r="O15" s="40" t="s">
        <v>51</v>
      </c>
      <c r="P15" s="51"/>
    </row>
    <row r="16" spans="1:16" s="21" customFormat="1" ht="24.9" customHeight="1">
      <c r="A16" s="14">
        <v>14</v>
      </c>
      <c r="B16" s="19">
        <v>10</v>
      </c>
      <c r="C16" s="15" t="s">
        <v>105</v>
      </c>
      <c r="D16" s="16">
        <v>6305</v>
      </c>
      <c r="E16" s="16">
        <v>10173</v>
      </c>
      <c r="F16" s="17">
        <f>(D16-E16)/E16</f>
        <v>-0.38022215668927556</v>
      </c>
      <c r="G16" s="18">
        <v>1111</v>
      </c>
      <c r="H16" s="17" t="s">
        <v>13</v>
      </c>
      <c r="I16" s="17" t="s">
        <v>13</v>
      </c>
      <c r="J16" s="18">
        <v>12</v>
      </c>
      <c r="K16" s="19">
        <v>2</v>
      </c>
      <c r="L16" s="16">
        <v>17733</v>
      </c>
      <c r="M16" s="18">
        <v>3193</v>
      </c>
      <c r="N16" s="20">
        <v>46052</v>
      </c>
      <c r="O16" s="40" t="s">
        <v>44</v>
      </c>
      <c r="P16" s="51"/>
    </row>
    <row r="17" spans="1:16" s="21" customFormat="1" ht="24.9" customHeight="1">
      <c r="A17" s="14">
        <v>15</v>
      </c>
      <c r="B17" s="19">
        <v>12</v>
      </c>
      <c r="C17" s="15" t="s">
        <v>114</v>
      </c>
      <c r="D17" s="16">
        <v>5266.66</v>
      </c>
      <c r="E17" s="16">
        <v>8727.7900000000009</v>
      </c>
      <c r="F17" s="17">
        <f>(D17-E17)/E17</f>
        <v>-0.39656430780300633</v>
      </c>
      <c r="G17" s="18">
        <v>645</v>
      </c>
      <c r="H17" s="18">
        <v>19</v>
      </c>
      <c r="I17" s="19">
        <f>G17/H17</f>
        <v>33.94736842105263</v>
      </c>
      <c r="J17" s="18">
        <v>7</v>
      </c>
      <c r="K17" s="19">
        <v>2</v>
      </c>
      <c r="L17" s="16">
        <v>17946.230000000003</v>
      </c>
      <c r="M17" s="18">
        <v>2403</v>
      </c>
      <c r="N17" s="20">
        <v>46052</v>
      </c>
      <c r="O17" s="40" t="s">
        <v>46</v>
      </c>
      <c r="P17" s="51"/>
    </row>
    <row r="18" spans="1:16" s="21" customFormat="1" ht="24.9" customHeight="1">
      <c r="A18" s="14">
        <v>16</v>
      </c>
      <c r="B18" s="19" t="s">
        <v>49</v>
      </c>
      <c r="C18" s="15" t="s">
        <v>115</v>
      </c>
      <c r="D18" s="16">
        <v>4307.3900000000003</v>
      </c>
      <c r="E18" s="16" t="s">
        <v>13</v>
      </c>
      <c r="F18" s="17" t="s">
        <v>13</v>
      </c>
      <c r="G18" s="18">
        <v>580</v>
      </c>
      <c r="H18" s="18">
        <v>37</v>
      </c>
      <c r="I18" s="19">
        <f>G18/H18</f>
        <v>15.675675675675675</v>
      </c>
      <c r="J18" s="18">
        <v>13</v>
      </c>
      <c r="K18" s="19">
        <v>1</v>
      </c>
      <c r="L18" s="16">
        <v>4696.3900000000003</v>
      </c>
      <c r="M18" s="18">
        <v>642</v>
      </c>
      <c r="N18" s="20">
        <v>46059</v>
      </c>
      <c r="O18" s="40" t="s">
        <v>46</v>
      </c>
      <c r="P18" s="51"/>
    </row>
    <row r="19" spans="1:16" s="21" customFormat="1" ht="24.9" customHeight="1">
      <c r="A19" s="14">
        <v>17</v>
      </c>
      <c r="B19" s="19">
        <v>13</v>
      </c>
      <c r="C19" s="15" t="s">
        <v>108</v>
      </c>
      <c r="D19" s="16">
        <v>2629.97</v>
      </c>
      <c r="E19" s="16">
        <v>8334.4500000000007</v>
      </c>
      <c r="F19" s="17">
        <f t="shared" ref="F19:F26" si="2">(D19-E19)/E19</f>
        <v>-0.68444588425151043</v>
      </c>
      <c r="G19" s="18">
        <v>342</v>
      </c>
      <c r="H19" s="18">
        <v>12</v>
      </c>
      <c r="I19" s="19">
        <f>G19/H19</f>
        <v>28.5</v>
      </c>
      <c r="J19" s="18">
        <v>5</v>
      </c>
      <c r="K19" s="19">
        <v>2</v>
      </c>
      <c r="L19" s="16">
        <v>14767.74</v>
      </c>
      <c r="M19" s="18">
        <v>2064</v>
      </c>
      <c r="N19" s="20">
        <v>46052</v>
      </c>
      <c r="O19" s="40" t="s">
        <v>37</v>
      </c>
      <c r="P19" s="51"/>
    </row>
    <row r="20" spans="1:16" s="21" customFormat="1" ht="24.9" customHeight="1">
      <c r="A20" s="14">
        <v>18</v>
      </c>
      <c r="B20" s="19">
        <v>15</v>
      </c>
      <c r="C20" s="15" t="s">
        <v>84</v>
      </c>
      <c r="D20" s="16">
        <v>2180.16</v>
      </c>
      <c r="E20" s="16">
        <v>3464.08</v>
      </c>
      <c r="F20" s="17">
        <f t="shared" si="2"/>
        <v>-0.37063809149904164</v>
      </c>
      <c r="G20" s="18">
        <v>313</v>
      </c>
      <c r="H20" s="18">
        <v>8</v>
      </c>
      <c r="I20" s="19">
        <f>G20/H20</f>
        <v>39.125</v>
      </c>
      <c r="J20" s="18">
        <v>4</v>
      </c>
      <c r="K20" s="19">
        <v>4</v>
      </c>
      <c r="L20" s="16">
        <v>31398.7</v>
      </c>
      <c r="M20" s="18">
        <v>4930</v>
      </c>
      <c r="N20" s="20">
        <v>46038</v>
      </c>
      <c r="O20" s="40" t="s">
        <v>207</v>
      </c>
      <c r="P20" s="51"/>
    </row>
    <row r="21" spans="1:16" s="21" customFormat="1" ht="24.9" customHeight="1">
      <c r="A21" s="14">
        <v>19</v>
      </c>
      <c r="B21" s="19">
        <v>14</v>
      </c>
      <c r="C21" s="15" t="s">
        <v>64</v>
      </c>
      <c r="D21" s="16">
        <v>894.6</v>
      </c>
      <c r="E21" s="16">
        <v>3915.23</v>
      </c>
      <c r="F21" s="17">
        <f t="shared" si="2"/>
        <v>-0.77150767643280216</v>
      </c>
      <c r="G21" s="18">
        <v>125</v>
      </c>
      <c r="H21" s="18">
        <v>3</v>
      </c>
      <c r="I21" s="19">
        <f>G21/H21</f>
        <v>41.666666666666664</v>
      </c>
      <c r="J21" s="18">
        <v>1</v>
      </c>
      <c r="K21" s="19">
        <v>5</v>
      </c>
      <c r="L21" s="16">
        <v>103295.92</v>
      </c>
      <c r="M21" s="18">
        <v>13956</v>
      </c>
      <c r="N21" s="20">
        <v>46031</v>
      </c>
      <c r="O21" s="40" t="s">
        <v>42</v>
      </c>
      <c r="P21" s="51"/>
    </row>
    <row r="22" spans="1:16" s="2" customFormat="1" ht="24.75" customHeight="1">
      <c r="A22" s="14">
        <v>20</v>
      </c>
      <c r="B22" s="19">
        <v>17</v>
      </c>
      <c r="C22" s="15" t="s">
        <v>22</v>
      </c>
      <c r="D22" s="16">
        <v>689.54</v>
      </c>
      <c r="E22" s="16">
        <v>1482.5</v>
      </c>
      <c r="F22" s="17">
        <f t="shared" si="2"/>
        <v>-0.53488026981450254</v>
      </c>
      <c r="G22" s="18">
        <v>127</v>
      </c>
      <c r="H22" s="19" t="s">
        <v>13</v>
      </c>
      <c r="I22" s="19" t="s">
        <v>13</v>
      </c>
      <c r="J22" s="19">
        <v>4</v>
      </c>
      <c r="K22" s="19">
        <v>8</v>
      </c>
      <c r="L22" s="16">
        <v>126907.34000000003</v>
      </c>
      <c r="M22" s="18">
        <v>20266</v>
      </c>
      <c r="N22" s="20">
        <v>46010</v>
      </c>
      <c r="O22" s="40" t="s">
        <v>41</v>
      </c>
      <c r="P22" s="51"/>
    </row>
    <row r="23" spans="1:16" s="44" customFormat="1" ht="24.75" customHeight="1">
      <c r="A23" s="14">
        <v>21</v>
      </c>
      <c r="B23" s="19">
        <v>19</v>
      </c>
      <c r="C23" s="15" t="s">
        <v>50</v>
      </c>
      <c r="D23" s="16">
        <v>677.7</v>
      </c>
      <c r="E23" s="16">
        <v>1128</v>
      </c>
      <c r="F23" s="17">
        <f t="shared" si="2"/>
        <v>-0.39920212765957441</v>
      </c>
      <c r="G23" s="18">
        <v>101</v>
      </c>
      <c r="H23" s="18">
        <v>4</v>
      </c>
      <c r="I23" s="19">
        <f t="shared" ref="I23:I28" si="3">G23/H23</f>
        <v>25.25</v>
      </c>
      <c r="J23" s="18">
        <v>2</v>
      </c>
      <c r="K23" s="19">
        <v>6</v>
      </c>
      <c r="L23" s="16">
        <v>46908.21</v>
      </c>
      <c r="M23" s="18">
        <v>6945</v>
      </c>
      <c r="N23" s="20">
        <v>46024</v>
      </c>
      <c r="O23" s="40" t="s">
        <v>51</v>
      </c>
      <c r="P23" s="51"/>
    </row>
    <row r="24" spans="1:16" s="44" customFormat="1" ht="24.9" customHeight="1">
      <c r="A24" s="14">
        <v>22</v>
      </c>
      <c r="B24" s="19">
        <v>16</v>
      </c>
      <c r="C24" s="15" t="s">
        <v>52</v>
      </c>
      <c r="D24" s="16">
        <v>620.45000000000005</v>
      </c>
      <c r="E24" s="16">
        <v>2677.5</v>
      </c>
      <c r="F24" s="17">
        <f t="shared" si="2"/>
        <v>-0.76827264239028947</v>
      </c>
      <c r="G24" s="18">
        <v>104</v>
      </c>
      <c r="H24" s="18">
        <v>8</v>
      </c>
      <c r="I24" s="19">
        <f t="shared" si="3"/>
        <v>13</v>
      </c>
      <c r="J24" s="18">
        <v>4</v>
      </c>
      <c r="K24" s="19">
        <v>5</v>
      </c>
      <c r="L24" s="16">
        <v>37506.480000000003</v>
      </c>
      <c r="M24" s="18">
        <v>6443</v>
      </c>
      <c r="N24" s="20">
        <v>46031</v>
      </c>
      <c r="O24" s="40" t="s">
        <v>42</v>
      </c>
      <c r="P24" s="51"/>
    </row>
    <row r="25" spans="1:16" s="44" customFormat="1" ht="24.9" customHeight="1">
      <c r="A25" s="14">
        <v>23</v>
      </c>
      <c r="B25" s="19">
        <v>18</v>
      </c>
      <c r="C25" s="15" t="s">
        <v>80</v>
      </c>
      <c r="D25" s="16">
        <v>293</v>
      </c>
      <c r="E25" s="16">
        <v>1451.17</v>
      </c>
      <c r="F25" s="17">
        <f t="shared" si="2"/>
        <v>-0.79809395177684217</v>
      </c>
      <c r="G25" s="18">
        <v>37</v>
      </c>
      <c r="H25" s="18">
        <v>2</v>
      </c>
      <c r="I25" s="19">
        <f t="shared" si="3"/>
        <v>18.5</v>
      </c>
      <c r="J25" s="18">
        <v>1</v>
      </c>
      <c r="K25" s="19">
        <v>4</v>
      </c>
      <c r="L25" s="16">
        <v>54487.34</v>
      </c>
      <c r="M25" s="18">
        <v>7614</v>
      </c>
      <c r="N25" s="20">
        <v>46038</v>
      </c>
      <c r="O25" s="40" t="s">
        <v>39</v>
      </c>
      <c r="P25" s="51"/>
    </row>
    <row r="26" spans="1:16" s="44" customFormat="1" ht="24.9" customHeight="1">
      <c r="A26" s="14">
        <v>24</v>
      </c>
      <c r="B26" s="19">
        <v>22</v>
      </c>
      <c r="C26" s="15" t="s">
        <v>29</v>
      </c>
      <c r="D26" s="16">
        <v>160</v>
      </c>
      <c r="E26" s="16">
        <v>414.3</v>
      </c>
      <c r="F26" s="17">
        <f t="shared" si="2"/>
        <v>-0.61380642046825973</v>
      </c>
      <c r="G26" s="18">
        <v>32</v>
      </c>
      <c r="H26" s="18">
        <v>2</v>
      </c>
      <c r="I26" s="19">
        <f t="shared" si="3"/>
        <v>16</v>
      </c>
      <c r="J26" s="18">
        <v>1</v>
      </c>
      <c r="K26" s="19">
        <v>6</v>
      </c>
      <c r="L26" s="16">
        <v>31021.129999999997</v>
      </c>
      <c r="M26" s="18">
        <v>5447</v>
      </c>
      <c r="N26" s="20">
        <v>46024</v>
      </c>
      <c r="O26" s="51" t="s">
        <v>46</v>
      </c>
      <c r="P26" s="56"/>
    </row>
    <row r="27" spans="1:16" ht="24.9" customHeight="1">
      <c r="A27" s="14">
        <v>25</v>
      </c>
      <c r="B27" s="16" t="s">
        <v>13</v>
      </c>
      <c r="C27" s="15" t="s">
        <v>56</v>
      </c>
      <c r="D27" s="16">
        <v>39</v>
      </c>
      <c r="E27" s="16" t="s">
        <v>13</v>
      </c>
      <c r="F27" s="17" t="s">
        <v>13</v>
      </c>
      <c r="G27" s="18">
        <v>8</v>
      </c>
      <c r="H27" s="18">
        <v>1</v>
      </c>
      <c r="I27" s="19">
        <f t="shared" si="3"/>
        <v>8</v>
      </c>
      <c r="J27" s="18">
        <v>1</v>
      </c>
      <c r="K27" s="19" t="s">
        <v>13</v>
      </c>
      <c r="L27" s="16">
        <v>295084.76</v>
      </c>
      <c r="M27" s="18">
        <v>55194</v>
      </c>
      <c r="N27" s="20">
        <v>45562</v>
      </c>
      <c r="O27" s="40" t="s">
        <v>42</v>
      </c>
      <c r="P27" s="51"/>
    </row>
    <row r="28" spans="1:16" ht="24.9" customHeight="1">
      <c r="A28" s="14">
        <v>26</v>
      </c>
      <c r="B28" s="19" t="s">
        <v>13</v>
      </c>
      <c r="C28" s="15" t="s">
        <v>59</v>
      </c>
      <c r="D28" s="16">
        <v>12.6</v>
      </c>
      <c r="E28" s="16" t="s">
        <v>13</v>
      </c>
      <c r="F28" s="17" t="s">
        <v>13</v>
      </c>
      <c r="G28" s="18">
        <v>3</v>
      </c>
      <c r="H28" s="18">
        <v>1</v>
      </c>
      <c r="I28" s="19">
        <f t="shared" si="3"/>
        <v>3</v>
      </c>
      <c r="J28" s="18">
        <v>1</v>
      </c>
      <c r="K28" s="19" t="s">
        <v>13</v>
      </c>
      <c r="L28" s="16">
        <v>35026</v>
      </c>
      <c r="M28" s="18">
        <v>6972</v>
      </c>
      <c r="N28" s="20">
        <v>45667</v>
      </c>
      <c r="O28" s="40" t="s">
        <v>42</v>
      </c>
      <c r="P28" s="51"/>
    </row>
    <row r="29" spans="1:16" ht="24.9" customHeight="1">
      <c r="A29" s="14">
        <v>27</v>
      </c>
      <c r="B29" s="19">
        <v>23</v>
      </c>
      <c r="C29" s="15" t="s">
        <v>106</v>
      </c>
      <c r="D29" s="16">
        <v>8</v>
      </c>
      <c r="E29" s="16">
        <v>318</v>
      </c>
      <c r="F29" s="17">
        <f>(D29-E29)/E29</f>
        <v>-0.97484276729559749</v>
      </c>
      <c r="G29" s="18">
        <v>2</v>
      </c>
      <c r="H29" s="17" t="s">
        <v>13</v>
      </c>
      <c r="I29" s="17" t="s">
        <v>13</v>
      </c>
      <c r="J29" s="18">
        <v>1</v>
      </c>
      <c r="K29" s="19">
        <v>2</v>
      </c>
      <c r="L29" s="16">
        <v>790</v>
      </c>
      <c r="M29" s="18">
        <v>148</v>
      </c>
      <c r="N29" s="20">
        <v>46052</v>
      </c>
      <c r="O29" s="40" t="s">
        <v>44</v>
      </c>
      <c r="P29" s="51"/>
    </row>
    <row r="30" spans="1:16" ht="24.75" customHeight="1">
      <c r="A30" s="25" t="s">
        <v>14</v>
      </c>
      <c r="B30" s="50" t="s">
        <v>14</v>
      </c>
      <c r="C30" s="29" t="s">
        <v>118</v>
      </c>
      <c r="D30" s="27">
        <f>SUBTOTAL(109,Table1324567[Pajamos 
(GBO)])</f>
        <v>371890.88999999984</v>
      </c>
      <c r="E30" s="27" t="s">
        <v>112</v>
      </c>
      <c r="F30" s="43">
        <f>(D30-E30)/E30</f>
        <v>-0.10132861150781895</v>
      </c>
      <c r="G30" s="34">
        <f>SUBTOTAL(109,Table1324567[Žiūrovų sk. 
(ADM)])</f>
        <v>47976</v>
      </c>
      <c r="H30" s="36"/>
      <c r="I30" s="25"/>
      <c r="J30" s="36"/>
      <c r="K30" s="48"/>
      <c r="L30" s="32"/>
      <c r="M30" s="36"/>
      <c r="N30" s="38"/>
      <c r="O30" s="41"/>
      <c r="P30" s="52"/>
    </row>
    <row r="31" spans="1:16"/>
    <row r="32" spans="1:16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664AF-FFF9-486D-9335-960EA9192CE6}">
  <sheetPr>
    <pageSetUpPr fitToPage="1"/>
  </sheetPr>
  <dimension ref="A1:XFC75"/>
  <sheetViews>
    <sheetView zoomScale="60" zoomScaleNormal="60" workbookViewId="0">
      <selection activeCell="O23" sqref="O23"/>
    </sheetView>
  </sheetViews>
  <sheetFormatPr defaultColWidth="0" defaultRowHeight="11.4" zeroHeight="1"/>
  <cols>
    <col min="1" max="2" width="4.75" style="1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6" s="4" customFormat="1" ht="40.5" customHeight="1" thickBot="1">
      <c r="A1" s="96" t="s">
        <v>99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6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  <c r="P2" s="55" t="s">
        <v>109</v>
      </c>
    </row>
    <row r="3" spans="1:16" s="21" customFormat="1" ht="24.9" customHeight="1">
      <c r="A3" s="14">
        <v>1</v>
      </c>
      <c r="B3" s="19">
        <v>1</v>
      </c>
      <c r="C3" s="15" t="s">
        <v>89</v>
      </c>
      <c r="D3" s="16">
        <v>122417.87</v>
      </c>
      <c r="E3" s="16">
        <v>146273.04</v>
      </c>
      <c r="F3" s="17">
        <f>(D3-E3)/E3</f>
        <v>-0.16308658109519028</v>
      </c>
      <c r="G3" s="18">
        <v>13655</v>
      </c>
      <c r="H3" s="18">
        <v>131</v>
      </c>
      <c r="I3" s="19">
        <f>G3/H3</f>
        <v>104.23664122137404</v>
      </c>
      <c r="J3" s="18">
        <v>16</v>
      </c>
      <c r="K3" s="19">
        <v>2</v>
      </c>
      <c r="L3" s="16">
        <v>383565.44</v>
      </c>
      <c r="M3" s="18">
        <v>47147</v>
      </c>
      <c r="N3" s="20">
        <v>46045</v>
      </c>
      <c r="O3" s="40" t="s">
        <v>42</v>
      </c>
      <c r="P3" s="53"/>
    </row>
    <row r="4" spans="1:16" s="21" customFormat="1" ht="24.6" customHeight="1">
      <c r="A4" s="14">
        <v>2</v>
      </c>
      <c r="B4" s="19" t="s">
        <v>49</v>
      </c>
      <c r="C4" s="15" t="s">
        <v>104</v>
      </c>
      <c r="D4" s="16">
        <v>43641.306200000006</v>
      </c>
      <c r="E4" s="17" t="s">
        <v>13</v>
      </c>
      <c r="F4" s="17" t="s">
        <v>13</v>
      </c>
      <c r="G4" s="18">
        <v>5851</v>
      </c>
      <c r="H4" s="17" t="s">
        <v>13</v>
      </c>
      <c r="I4" s="17" t="s">
        <v>13</v>
      </c>
      <c r="J4" s="18">
        <v>22</v>
      </c>
      <c r="K4" s="19">
        <v>1</v>
      </c>
      <c r="L4" s="16">
        <v>47854.916200000007</v>
      </c>
      <c r="M4" s="18">
        <v>6483</v>
      </c>
      <c r="N4" s="20">
        <v>46052</v>
      </c>
      <c r="O4" s="40" t="s">
        <v>41</v>
      </c>
      <c r="P4" s="53"/>
    </row>
    <row r="5" spans="1:16" s="21" customFormat="1" ht="24.9" customHeight="1">
      <c r="A5" s="14">
        <v>3</v>
      </c>
      <c r="B5" s="19">
        <v>3</v>
      </c>
      <c r="C5" s="15" t="s">
        <v>16</v>
      </c>
      <c r="D5" s="16">
        <v>42060.67</v>
      </c>
      <c r="E5" s="16">
        <v>67830.06</v>
      </c>
      <c r="F5" s="17">
        <f t="shared" ref="F5:F10" si="0">(D5-E5)/E5</f>
        <v>-0.37991106008162162</v>
      </c>
      <c r="G5" s="18">
        <v>4308</v>
      </c>
      <c r="H5" s="18">
        <v>56</v>
      </c>
      <c r="I5" s="19">
        <f t="shared" ref="I5:I11" si="1">G5/H5</f>
        <v>76.928571428571431</v>
      </c>
      <c r="J5" s="18">
        <v>15</v>
      </c>
      <c r="K5" s="19">
        <v>7</v>
      </c>
      <c r="L5" s="16">
        <v>1924617.95</v>
      </c>
      <c r="M5" s="18">
        <v>211590</v>
      </c>
      <c r="N5" s="20">
        <v>46010</v>
      </c>
      <c r="O5" s="40" t="s">
        <v>37</v>
      </c>
      <c r="P5" s="51"/>
    </row>
    <row r="6" spans="1:16" s="21" customFormat="1" ht="24.9" customHeight="1">
      <c r="A6" s="14">
        <v>4</v>
      </c>
      <c r="B6" s="19">
        <v>2</v>
      </c>
      <c r="C6" s="15" t="s">
        <v>71</v>
      </c>
      <c r="D6" s="16">
        <v>37678</v>
      </c>
      <c r="E6" s="16">
        <v>93702</v>
      </c>
      <c r="F6" s="17">
        <f t="shared" si="0"/>
        <v>-0.59789545580670633</v>
      </c>
      <c r="G6" s="18">
        <v>4833</v>
      </c>
      <c r="H6" s="18">
        <v>40</v>
      </c>
      <c r="I6" s="19">
        <f t="shared" si="1"/>
        <v>120.825</v>
      </c>
      <c r="J6" s="18">
        <v>22</v>
      </c>
      <c r="K6" s="19">
        <v>4</v>
      </c>
      <c r="L6" s="16">
        <v>734322</v>
      </c>
      <c r="M6" s="18">
        <v>97457</v>
      </c>
      <c r="N6" s="20">
        <v>46031</v>
      </c>
      <c r="O6" s="40" t="s">
        <v>74</v>
      </c>
      <c r="P6" s="53"/>
    </row>
    <row r="7" spans="1:16" s="21" customFormat="1" ht="24.9" customHeight="1">
      <c r="A7" s="14">
        <v>5</v>
      </c>
      <c r="B7" s="19">
        <v>4</v>
      </c>
      <c r="C7" s="15" t="s">
        <v>79</v>
      </c>
      <c r="D7" s="16">
        <v>31578.1</v>
      </c>
      <c r="E7" s="16">
        <v>49604.65</v>
      </c>
      <c r="F7" s="17">
        <f t="shared" si="0"/>
        <v>-0.36340443889836943</v>
      </c>
      <c r="G7" s="18">
        <v>5564</v>
      </c>
      <c r="H7" s="18">
        <v>112</v>
      </c>
      <c r="I7" s="19">
        <f t="shared" si="1"/>
        <v>49.678571428571431</v>
      </c>
      <c r="J7" s="18">
        <v>19</v>
      </c>
      <c r="K7" s="19">
        <v>3</v>
      </c>
      <c r="L7" s="16">
        <v>168602.1</v>
      </c>
      <c r="M7" s="18">
        <v>29737</v>
      </c>
      <c r="N7" s="20">
        <v>46038</v>
      </c>
      <c r="O7" s="40" t="s">
        <v>42</v>
      </c>
      <c r="P7" s="53"/>
    </row>
    <row r="8" spans="1:16" s="21" customFormat="1" ht="24.6" customHeight="1">
      <c r="A8" s="14">
        <v>6</v>
      </c>
      <c r="B8" s="19">
        <v>5</v>
      </c>
      <c r="C8" s="15" t="s">
        <v>93</v>
      </c>
      <c r="D8" s="16">
        <v>26813.85</v>
      </c>
      <c r="E8" s="16">
        <v>39256.660000000003</v>
      </c>
      <c r="F8" s="17">
        <f t="shared" si="0"/>
        <v>-0.3169604851762734</v>
      </c>
      <c r="G8" s="18">
        <v>3544</v>
      </c>
      <c r="H8" s="18">
        <v>63</v>
      </c>
      <c r="I8" s="19">
        <f t="shared" si="1"/>
        <v>56.253968253968253</v>
      </c>
      <c r="J8" s="18">
        <v>15</v>
      </c>
      <c r="K8" s="19">
        <v>2</v>
      </c>
      <c r="L8" s="16">
        <v>89143.7</v>
      </c>
      <c r="M8" s="18">
        <v>12392</v>
      </c>
      <c r="N8" s="20">
        <v>46045</v>
      </c>
      <c r="O8" s="40" t="s">
        <v>94</v>
      </c>
      <c r="P8" s="53"/>
    </row>
    <row r="9" spans="1:16" s="21" customFormat="1" ht="24.6" customHeight="1">
      <c r="A9" s="14">
        <v>7</v>
      </c>
      <c r="B9" s="19">
        <v>6</v>
      </c>
      <c r="C9" s="15" t="s">
        <v>18</v>
      </c>
      <c r="D9" s="45">
        <v>22901.040000000001</v>
      </c>
      <c r="E9" s="16">
        <v>25967.01</v>
      </c>
      <c r="F9" s="17">
        <f t="shared" si="0"/>
        <v>-0.11807173794749561</v>
      </c>
      <c r="G9" s="46">
        <v>3619</v>
      </c>
      <c r="H9" s="18">
        <v>68</v>
      </c>
      <c r="I9" s="19">
        <f t="shared" si="1"/>
        <v>53.220588235294116</v>
      </c>
      <c r="J9" s="18">
        <v>14</v>
      </c>
      <c r="K9" s="19">
        <v>10</v>
      </c>
      <c r="L9" s="45">
        <v>1166936.54</v>
      </c>
      <c r="M9" s="46">
        <v>185381</v>
      </c>
      <c r="N9" s="20">
        <v>45989</v>
      </c>
      <c r="O9" s="40" t="s">
        <v>37</v>
      </c>
      <c r="P9" s="51"/>
    </row>
    <row r="10" spans="1:16" s="21" customFormat="1" ht="24.6" customHeight="1">
      <c r="A10" s="14">
        <v>8</v>
      </c>
      <c r="B10" s="19">
        <v>7</v>
      </c>
      <c r="C10" s="15" t="s">
        <v>78</v>
      </c>
      <c r="D10" s="16">
        <v>17083.669999999998</v>
      </c>
      <c r="E10" s="16">
        <v>17872.990000000002</v>
      </c>
      <c r="F10" s="17">
        <f t="shared" si="0"/>
        <v>-4.4162728228461116E-2</v>
      </c>
      <c r="G10" s="18">
        <v>2272</v>
      </c>
      <c r="H10" s="18">
        <v>35</v>
      </c>
      <c r="I10" s="19">
        <f t="shared" si="1"/>
        <v>64.914285714285711</v>
      </c>
      <c r="J10" s="18">
        <v>11</v>
      </c>
      <c r="K10" s="19">
        <v>3</v>
      </c>
      <c r="L10" s="16">
        <v>90383.83</v>
      </c>
      <c r="M10" s="18">
        <v>12412</v>
      </c>
      <c r="N10" s="20">
        <v>46038</v>
      </c>
      <c r="O10" s="40" t="s">
        <v>47</v>
      </c>
      <c r="P10" s="53"/>
    </row>
    <row r="11" spans="1:16" s="21" customFormat="1" ht="24.6" customHeight="1">
      <c r="A11" s="14">
        <v>9</v>
      </c>
      <c r="B11" s="19" t="s">
        <v>49</v>
      </c>
      <c r="C11" s="15" t="s">
        <v>107</v>
      </c>
      <c r="D11" s="16">
        <v>16184.16</v>
      </c>
      <c r="E11" s="17" t="s">
        <v>13</v>
      </c>
      <c r="F11" s="17" t="s">
        <v>13</v>
      </c>
      <c r="G11" s="18">
        <v>2018</v>
      </c>
      <c r="H11" s="18">
        <v>54</v>
      </c>
      <c r="I11" s="19">
        <f t="shared" si="1"/>
        <v>37.370370370370374</v>
      </c>
      <c r="J11" s="18">
        <v>11</v>
      </c>
      <c r="K11" s="19">
        <v>1</v>
      </c>
      <c r="L11" s="16">
        <v>17268.63</v>
      </c>
      <c r="M11" s="18">
        <v>2172</v>
      </c>
      <c r="N11" s="20">
        <v>46052</v>
      </c>
      <c r="O11" s="40" t="s">
        <v>42</v>
      </c>
      <c r="P11" s="53"/>
    </row>
    <row r="12" spans="1:16" s="21" customFormat="1" ht="24.9" customHeight="1">
      <c r="A12" s="14">
        <v>10</v>
      </c>
      <c r="B12" s="19" t="s">
        <v>49</v>
      </c>
      <c r="C12" s="15" t="s">
        <v>105</v>
      </c>
      <c r="D12" s="16">
        <v>10173</v>
      </c>
      <c r="E12" s="17" t="s">
        <v>13</v>
      </c>
      <c r="F12" s="17" t="s">
        <v>13</v>
      </c>
      <c r="G12" s="18">
        <v>1835</v>
      </c>
      <c r="H12" s="17" t="s">
        <v>13</v>
      </c>
      <c r="I12" s="17" t="s">
        <v>13</v>
      </c>
      <c r="J12" s="18">
        <v>17</v>
      </c>
      <c r="K12" s="19">
        <v>1</v>
      </c>
      <c r="L12" s="16">
        <v>10173</v>
      </c>
      <c r="M12" s="18">
        <v>1835</v>
      </c>
      <c r="N12" s="20">
        <v>46052</v>
      </c>
      <c r="O12" s="40" t="s">
        <v>44</v>
      </c>
      <c r="P12" s="53"/>
    </row>
    <row r="13" spans="1:16" s="21" customFormat="1" ht="24.9" customHeight="1">
      <c r="A13" s="14">
        <v>11</v>
      </c>
      <c r="B13" s="19">
        <v>8</v>
      </c>
      <c r="C13" s="15" t="s">
        <v>17</v>
      </c>
      <c r="D13" s="16">
        <v>8996.9</v>
      </c>
      <c r="E13" s="16">
        <v>16128.88</v>
      </c>
      <c r="F13" s="17">
        <f>(D13-E13)/E13</f>
        <v>-0.44218693424465927</v>
      </c>
      <c r="G13" s="18">
        <v>1465</v>
      </c>
      <c r="H13" s="18">
        <v>35</v>
      </c>
      <c r="I13" s="19">
        <f t="shared" ref="I13:I18" si="2">G13/H13</f>
        <v>41.857142857142854</v>
      </c>
      <c r="J13" s="18">
        <v>13</v>
      </c>
      <c r="K13" s="19">
        <v>6</v>
      </c>
      <c r="L13" s="16">
        <v>292745.65000000002</v>
      </c>
      <c r="M13" s="18">
        <v>48220</v>
      </c>
      <c r="N13" s="20">
        <v>46017</v>
      </c>
      <c r="O13" s="40" t="s">
        <v>38</v>
      </c>
      <c r="P13" s="51"/>
    </row>
    <row r="14" spans="1:16" s="21" customFormat="1" ht="24.9" customHeight="1">
      <c r="A14" s="14">
        <v>12</v>
      </c>
      <c r="B14" s="19" t="s">
        <v>49</v>
      </c>
      <c r="C14" s="15" t="s">
        <v>114</v>
      </c>
      <c r="D14" s="16">
        <v>8727.7900000000009</v>
      </c>
      <c r="E14" s="17" t="s">
        <v>13</v>
      </c>
      <c r="F14" s="17" t="s">
        <v>13</v>
      </c>
      <c r="G14" s="18">
        <v>1139</v>
      </c>
      <c r="H14" s="18">
        <v>35</v>
      </c>
      <c r="I14" s="12">
        <f t="shared" si="2"/>
        <v>32.542857142857144</v>
      </c>
      <c r="J14" s="18">
        <v>10</v>
      </c>
      <c r="K14" s="19">
        <v>1</v>
      </c>
      <c r="L14" s="16">
        <v>8727.7900000000009</v>
      </c>
      <c r="M14" s="18">
        <v>1139</v>
      </c>
      <c r="N14" s="20">
        <v>46052</v>
      </c>
      <c r="O14" s="40" t="s">
        <v>46</v>
      </c>
      <c r="P14" s="53"/>
    </row>
    <row r="15" spans="1:16" s="2" customFormat="1" ht="24.9" customHeight="1">
      <c r="A15" s="14">
        <v>13</v>
      </c>
      <c r="B15" s="19" t="s">
        <v>49</v>
      </c>
      <c r="C15" s="15" t="s">
        <v>108</v>
      </c>
      <c r="D15" s="16">
        <v>8334.4500000000007</v>
      </c>
      <c r="E15" s="16" t="s">
        <v>13</v>
      </c>
      <c r="F15" s="17" t="s">
        <v>13</v>
      </c>
      <c r="G15" s="18">
        <v>1071</v>
      </c>
      <c r="H15" s="18">
        <v>38</v>
      </c>
      <c r="I15" s="19">
        <f t="shared" si="2"/>
        <v>28.184210526315791</v>
      </c>
      <c r="J15" s="18">
        <v>13</v>
      </c>
      <c r="K15" s="19">
        <v>1</v>
      </c>
      <c r="L15" s="16">
        <v>8334.4500000000007</v>
      </c>
      <c r="M15" s="18">
        <v>1071</v>
      </c>
      <c r="N15" s="20">
        <v>46052</v>
      </c>
      <c r="O15" s="40" t="s">
        <v>37</v>
      </c>
      <c r="P15" s="53"/>
    </row>
    <row r="16" spans="1:16" s="21" customFormat="1" ht="24.9" customHeight="1">
      <c r="A16" s="14">
        <v>14</v>
      </c>
      <c r="B16" s="19">
        <v>9</v>
      </c>
      <c r="C16" s="15" t="s">
        <v>64</v>
      </c>
      <c r="D16" s="16">
        <v>3915.23</v>
      </c>
      <c r="E16" s="16">
        <v>10400.549999999999</v>
      </c>
      <c r="F16" s="17">
        <f t="shared" ref="F16:F22" si="3">(D16-E16)/E16</f>
        <v>-0.62355548504646385</v>
      </c>
      <c r="G16" s="18">
        <v>530</v>
      </c>
      <c r="H16" s="18">
        <v>11</v>
      </c>
      <c r="I16" s="19">
        <f t="shared" si="2"/>
        <v>48.18181818181818</v>
      </c>
      <c r="J16" s="18">
        <v>4</v>
      </c>
      <c r="K16" s="19">
        <v>4</v>
      </c>
      <c r="L16" s="16">
        <v>102024.12</v>
      </c>
      <c r="M16" s="18">
        <v>13764</v>
      </c>
      <c r="N16" s="20">
        <v>46031</v>
      </c>
      <c r="O16" s="40" t="s">
        <v>42</v>
      </c>
      <c r="P16" s="53"/>
    </row>
    <row r="17" spans="1:16" s="21" customFormat="1" ht="24.9" customHeight="1">
      <c r="A17" s="14">
        <v>15</v>
      </c>
      <c r="B17" s="19">
        <v>15</v>
      </c>
      <c r="C17" s="15" t="s">
        <v>84</v>
      </c>
      <c r="D17" s="16">
        <v>3464.08</v>
      </c>
      <c r="E17" s="16">
        <v>3121.35</v>
      </c>
      <c r="F17" s="17">
        <f t="shared" si="3"/>
        <v>0.10980184855911705</v>
      </c>
      <c r="G17" s="18">
        <v>557</v>
      </c>
      <c r="H17" s="18">
        <v>13</v>
      </c>
      <c r="I17" s="19">
        <f t="shared" si="2"/>
        <v>42.846153846153847</v>
      </c>
      <c r="J17" s="18">
        <v>7</v>
      </c>
      <c r="K17" s="19">
        <v>3</v>
      </c>
      <c r="L17" s="16">
        <v>27814.57</v>
      </c>
      <c r="M17" s="18">
        <v>4342</v>
      </c>
      <c r="N17" s="20">
        <v>46038</v>
      </c>
      <c r="O17" s="40" t="s">
        <v>207</v>
      </c>
      <c r="P17" s="53"/>
    </row>
    <row r="18" spans="1:16" s="2" customFormat="1" ht="24.9" customHeight="1">
      <c r="A18" s="14">
        <v>16</v>
      </c>
      <c r="B18" s="19">
        <v>12</v>
      </c>
      <c r="C18" s="15" t="s">
        <v>52</v>
      </c>
      <c r="D18" s="16">
        <v>2677.5</v>
      </c>
      <c r="E18" s="16">
        <v>5381.33</v>
      </c>
      <c r="F18" s="17">
        <f t="shared" si="3"/>
        <v>-0.50244642123787242</v>
      </c>
      <c r="G18" s="18">
        <v>453</v>
      </c>
      <c r="H18" s="18">
        <v>12</v>
      </c>
      <c r="I18" s="19">
        <f t="shared" si="2"/>
        <v>37.75</v>
      </c>
      <c r="J18" s="18">
        <v>5</v>
      </c>
      <c r="K18" s="19">
        <v>4</v>
      </c>
      <c r="L18" s="16">
        <v>36478.21</v>
      </c>
      <c r="M18" s="18">
        <v>6258</v>
      </c>
      <c r="N18" s="20">
        <v>46031</v>
      </c>
      <c r="O18" s="40" t="s">
        <v>42</v>
      </c>
      <c r="P18" s="53"/>
    </row>
    <row r="19" spans="1:16" s="2" customFormat="1" ht="24.9" customHeight="1">
      <c r="A19" s="14">
        <v>17</v>
      </c>
      <c r="B19" s="19">
        <v>14</v>
      </c>
      <c r="C19" s="15" t="s">
        <v>22</v>
      </c>
      <c r="D19" s="16">
        <v>1482.5</v>
      </c>
      <c r="E19" s="16">
        <v>4574.7700000000004</v>
      </c>
      <c r="F19" s="17">
        <f t="shared" si="3"/>
        <v>-0.6759399926116505</v>
      </c>
      <c r="G19" s="18">
        <v>238</v>
      </c>
      <c r="H19" s="19">
        <v>4</v>
      </c>
      <c r="I19" s="19" t="s">
        <v>13</v>
      </c>
      <c r="J19" s="19" t="s">
        <v>13</v>
      </c>
      <c r="K19" s="19">
        <v>7</v>
      </c>
      <c r="L19" s="16">
        <v>124417.20000000003</v>
      </c>
      <c r="M19" s="18">
        <v>19861</v>
      </c>
      <c r="N19" s="20">
        <v>46010</v>
      </c>
      <c r="O19" s="40" t="s">
        <v>41</v>
      </c>
      <c r="P19" s="53"/>
    </row>
    <row r="20" spans="1:16" s="2" customFormat="1" ht="24.9" customHeight="1">
      <c r="A20" s="14">
        <v>18</v>
      </c>
      <c r="B20" s="19">
        <v>11</v>
      </c>
      <c r="C20" s="15" t="s">
        <v>80</v>
      </c>
      <c r="D20" s="16">
        <v>1451.17</v>
      </c>
      <c r="E20" s="16">
        <v>9478.11</v>
      </c>
      <c r="F20" s="17">
        <f t="shared" si="3"/>
        <v>-0.84689247117832567</v>
      </c>
      <c r="G20" s="18">
        <v>183</v>
      </c>
      <c r="H20" s="18">
        <v>5</v>
      </c>
      <c r="I20" s="19">
        <f>G20/H20</f>
        <v>36.6</v>
      </c>
      <c r="J20" s="18">
        <v>3</v>
      </c>
      <c r="K20" s="19">
        <v>3</v>
      </c>
      <c r="L20" s="16">
        <v>53607.56</v>
      </c>
      <c r="M20" s="18">
        <v>7455</v>
      </c>
      <c r="N20" s="20">
        <v>46038</v>
      </c>
      <c r="O20" s="40" t="s">
        <v>39</v>
      </c>
      <c r="P20" s="53"/>
    </row>
    <row r="21" spans="1:16" s="2" customFormat="1" ht="24.9" customHeight="1">
      <c r="A21" s="14">
        <v>19</v>
      </c>
      <c r="B21" s="19">
        <v>16</v>
      </c>
      <c r="C21" s="15" t="s">
        <v>50</v>
      </c>
      <c r="D21" s="16">
        <v>1128</v>
      </c>
      <c r="E21" s="16">
        <v>1796.35</v>
      </c>
      <c r="F21" s="17">
        <f t="shared" si="3"/>
        <v>-0.37206001057700333</v>
      </c>
      <c r="G21" s="18">
        <v>192</v>
      </c>
      <c r="H21" s="18">
        <v>3</v>
      </c>
      <c r="I21" s="19">
        <f>G21/H21</f>
        <v>64</v>
      </c>
      <c r="J21" s="18">
        <v>2</v>
      </c>
      <c r="K21" s="19">
        <v>5</v>
      </c>
      <c r="L21" s="16">
        <v>45289.4</v>
      </c>
      <c r="M21" s="18">
        <v>6725</v>
      </c>
      <c r="N21" s="20">
        <v>46024</v>
      </c>
      <c r="O21" s="40" t="s">
        <v>51</v>
      </c>
      <c r="P21" s="51"/>
    </row>
    <row r="22" spans="1:16" s="2" customFormat="1" ht="24.75" customHeight="1">
      <c r="A22" s="14">
        <v>20</v>
      </c>
      <c r="B22" s="19">
        <v>10</v>
      </c>
      <c r="C22" s="15" t="s">
        <v>90</v>
      </c>
      <c r="D22" s="16">
        <v>854.88</v>
      </c>
      <c r="E22" s="16">
        <v>10107.24</v>
      </c>
      <c r="F22" s="17">
        <f t="shared" si="3"/>
        <v>-0.91541904614909719</v>
      </c>
      <c r="G22" s="18">
        <v>124</v>
      </c>
      <c r="H22" s="18">
        <v>6</v>
      </c>
      <c r="I22" s="19">
        <f>G22/H22</f>
        <v>20.666666666666668</v>
      </c>
      <c r="J22" s="18">
        <v>2</v>
      </c>
      <c r="K22" s="19">
        <v>2</v>
      </c>
      <c r="L22" s="16">
        <v>17005.009999999998</v>
      </c>
      <c r="M22" s="18">
        <v>2333</v>
      </c>
      <c r="N22" s="20">
        <v>46045</v>
      </c>
      <c r="O22" s="40" t="s">
        <v>39</v>
      </c>
      <c r="P22" s="53"/>
    </row>
    <row r="23" spans="1:16" s="44" customFormat="1" ht="24.75" customHeight="1">
      <c r="A23" s="14">
        <v>21</v>
      </c>
      <c r="B23" s="17" t="s">
        <v>13</v>
      </c>
      <c r="C23" s="15" t="s">
        <v>68</v>
      </c>
      <c r="D23" s="16">
        <v>763.05</v>
      </c>
      <c r="E23" s="17" t="s">
        <v>13</v>
      </c>
      <c r="F23" s="17" t="s">
        <v>13</v>
      </c>
      <c r="G23" s="18">
        <v>112</v>
      </c>
      <c r="H23" s="18">
        <v>1</v>
      </c>
      <c r="I23" s="19">
        <f>G23/H23</f>
        <v>112</v>
      </c>
      <c r="J23" s="18">
        <v>1</v>
      </c>
      <c r="K23" s="19" t="s">
        <v>13</v>
      </c>
      <c r="L23" s="16">
        <v>69098.69</v>
      </c>
      <c r="M23" s="18">
        <v>11368</v>
      </c>
      <c r="N23" s="20">
        <v>45954</v>
      </c>
      <c r="O23" s="40" t="s">
        <v>47</v>
      </c>
      <c r="P23" s="53"/>
    </row>
    <row r="24" spans="1:16" ht="24.9" customHeight="1">
      <c r="A24" s="14">
        <v>22</v>
      </c>
      <c r="B24" s="19">
        <v>21</v>
      </c>
      <c r="C24" s="15" t="s">
        <v>29</v>
      </c>
      <c r="D24" s="16">
        <v>414.3</v>
      </c>
      <c r="E24" s="16">
        <v>464.77</v>
      </c>
      <c r="F24" s="17">
        <f>(D24-E24)/E24</f>
        <v>-0.10859134625728849</v>
      </c>
      <c r="G24" s="18">
        <v>72</v>
      </c>
      <c r="H24" s="18">
        <v>4</v>
      </c>
      <c r="I24" s="19">
        <f>G24/H24</f>
        <v>18</v>
      </c>
      <c r="J24" s="18">
        <v>3</v>
      </c>
      <c r="K24" s="19">
        <v>5</v>
      </c>
      <c r="L24" s="16">
        <v>30861.129999999997</v>
      </c>
      <c r="M24" s="18">
        <v>5415</v>
      </c>
      <c r="N24" s="20">
        <v>46024</v>
      </c>
      <c r="O24" s="51" t="s">
        <v>46</v>
      </c>
      <c r="P24" s="54"/>
    </row>
    <row r="25" spans="1:16" s="44" customFormat="1" ht="24.9" customHeight="1">
      <c r="A25" s="14">
        <v>23</v>
      </c>
      <c r="B25" s="19" t="s">
        <v>49</v>
      </c>
      <c r="C25" s="15" t="s">
        <v>106</v>
      </c>
      <c r="D25" s="16">
        <v>318</v>
      </c>
      <c r="E25" s="17" t="s">
        <v>13</v>
      </c>
      <c r="F25" s="17" t="s">
        <v>13</v>
      </c>
      <c r="G25" s="18">
        <v>50</v>
      </c>
      <c r="H25" s="17" t="s">
        <v>13</v>
      </c>
      <c r="I25" s="17" t="s">
        <v>13</v>
      </c>
      <c r="J25" s="18">
        <v>6</v>
      </c>
      <c r="K25" s="19">
        <v>1</v>
      </c>
      <c r="L25" s="16">
        <v>318</v>
      </c>
      <c r="M25" s="18">
        <v>50</v>
      </c>
      <c r="N25" s="20">
        <v>46052</v>
      </c>
      <c r="O25" s="40" t="s">
        <v>44</v>
      </c>
      <c r="P25" s="53"/>
    </row>
    <row r="26" spans="1:16" s="44" customFormat="1" ht="24.9" customHeight="1">
      <c r="A26" s="14">
        <v>24</v>
      </c>
      <c r="B26" s="16" t="s">
        <v>13</v>
      </c>
      <c r="C26" s="15" t="s">
        <v>61</v>
      </c>
      <c r="D26" s="16">
        <v>300.39</v>
      </c>
      <c r="E26" s="16" t="s">
        <v>13</v>
      </c>
      <c r="F26" s="17" t="s">
        <v>13</v>
      </c>
      <c r="G26" s="18">
        <v>58</v>
      </c>
      <c r="H26" s="18">
        <v>2</v>
      </c>
      <c r="I26" s="19">
        <f t="shared" ref="I26:I31" si="4">G26/H26</f>
        <v>29</v>
      </c>
      <c r="J26" s="18">
        <v>2</v>
      </c>
      <c r="K26" s="19" t="s">
        <v>13</v>
      </c>
      <c r="L26" s="16">
        <v>18607.04</v>
      </c>
      <c r="M26" s="18">
        <v>2750</v>
      </c>
      <c r="N26" s="20">
        <v>46024</v>
      </c>
      <c r="O26" s="40" t="s">
        <v>37</v>
      </c>
      <c r="P26" s="51" t="s">
        <v>37</v>
      </c>
    </row>
    <row r="27" spans="1:16" ht="24.9" customHeight="1">
      <c r="A27" s="14">
        <v>25</v>
      </c>
      <c r="B27" s="16" t="s">
        <v>13</v>
      </c>
      <c r="C27" s="15" t="s">
        <v>73</v>
      </c>
      <c r="D27" s="16">
        <v>242</v>
      </c>
      <c r="E27" s="17" t="s">
        <v>13</v>
      </c>
      <c r="F27" s="17" t="s">
        <v>13</v>
      </c>
      <c r="G27" s="18">
        <v>43</v>
      </c>
      <c r="H27" s="18">
        <v>1</v>
      </c>
      <c r="I27" s="19">
        <f t="shared" si="4"/>
        <v>43</v>
      </c>
      <c r="J27" s="18">
        <v>1</v>
      </c>
      <c r="K27" s="16" t="s">
        <v>13</v>
      </c>
      <c r="L27" s="16">
        <v>8286</v>
      </c>
      <c r="M27" s="18">
        <v>1468</v>
      </c>
      <c r="N27" s="20">
        <v>46003</v>
      </c>
      <c r="O27" s="40" t="s">
        <v>51</v>
      </c>
      <c r="P27" s="51"/>
    </row>
    <row r="28" spans="1:16" ht="24.9" customHeight="1">
      <c r="A28" s="14">
        <v>26</v>
      </c>
      <c r="B28" s="18">
        <v>24</v>
      </c>
      <c r="C28" s="15" t="s">
        <v>91</v>
      </c>
      <c r="D28" s="16">
        <v>114.6</v>
      </c>
      <c r="E28" s="16">
        <v>135.80000000000001</v>
      </c>
      <c r="F28" s="17">
        <f>(D28-E28)/E28</f>
        <v>-0.15611192930780571</v>
      </c>
      <c r="G28" s="18">
        <v>27</v>
      </c>
      <c r="H28" s="18">
        <v>1</v>
      </c>
      <c r="I28" s="19">
        <f t="shared" si="4"/>
        <v>27</v>
      </c>
      <c r="J28" s="18">
        <v>1</v>
      </c>
      <c r="K28" s="17" t="s">
        <v>13</v>
      </c>
      <c r="L28" s="16">
        <v>88468.37</v>
      </c>
      <c r="M28" s="18">
        <v>18272</v>
      </c>
      <c r="N28" s="20">
        <v>44855</v>
      </c>
      <c r="O28" s="40" t="s">
        <v>42</v>
      </c>
      <c r="P28" s="54"/>
    </row>
    <row r="29" spans="1:16" ht="24.9" customHeight="1">
      <c r="A29" s="14">
        <v>27</v>
      </c>
      <c r="B29" s="19">
        <v>23</v>
      </c>
      <c r="C29" s="15" t="s">
        <v>26</v>
      </c>
      <c r="D29" s="16">
        <v>86.24</v>
      </c>
      <c r="E29" s="16">
        <v>330.1</v>
      </c>
      <c r="F29" s="17">
        <f>(D29-E29)/E29</f>
        <v>-0.73874583459557708</v>
      </c>
      <c r="G29" s="18">
        <v>11</v>
      </c>
      <c r="H29" s="18">
        <v>1</v>
      </c>
      <c r="I29" s="19">
        <f t="shared" si="4"/>
        <v>11</v>
      </c>
      <c r="J29" s="18">
        <v>1</v>
      </c>
      <c r="K29" s="19">
        <v>12</v>
      </c>
      <c r="L29" s="16">
        <v>321671.17</v>
      </c>
      <c r="M29" s="18">
        <v>41542</v>
      </c>
      <c r="N29" s="20">
        <v>45975</v>
      </c>
      <c r="O29" s="40" t="s">
        <v>42</v>
      </c>
      <c r="P29" s="54"/>
    </row>
    <row r="30" spans="1:16" s="21" customFormat="1" ht="24.6" customHeight="1">
      <c r="A30" s="14">
        <v>28</v>
      </c>
      <c r="B30" s="19" t="s">
        <v>13</v>
      </c>
      <c r="C30" s="15" t="s">
        <v>66</v>
      </c>
      <c r="D30" s="16">
        <v>10.199999999999999</v>
      </c>
      <c r="E30" s="16" t="s">
        <v>13</v>
      </c>
      <c r="F30" s="17" t="s">
        <v>13</v>
      </c>
      <c r="G30" s="18">
        <v>2</v>
      </c>
      <c r="H30" s="18">
        <v>1</v>
      </c>
      <c r="I30" s="19">
        <f t="shared" si="4"/>
        <v>2</v>
      </c>
      <c r="J30" s="18">
        <v>1</v>
      </c>
      <c r="K30" s="19" t="s">
        <v>13</v>
      </c>
      <c r="L30" s="16">
        <v>22105.74</v>
      </c>
      <c r="M30" s="18">
        <v>4000</v>
      </c>
      <c r="N30" s="20">
        <v>45611</v>
      </c>
      <c r="O30" s="40" t="s">
        <v>42</v>
      </c>
      <c r="P30" s="53"/>
    </row>
    <row r="31" spans="1:16" s="44" customFormat="1" ht="24.9" customHeight="1">
      <c r="A31" s="14">
        <v>29</v>
      </c>
      <c r="B31" s="19" t="s">
        <v>13</v>
      </c>
      <c r="C31" s="15" t="s">
        <v>67</v>
      </c>
      <c r="D31" s="16">
        <v>10.199999999999999</v>
      </c>
      <c r="E31" s="16" t="s">
        <v>13</v>
      </c>
      <c r="F31" s="17" t="s">
        <v>13</v>
      </c>
      <c r="G31" s="18">
        <v>2</v>
      </c>
      <c r="H31" s="18">
        <v>1</v>
      </c>
      <c r="I31" s="19">
        <f t="shared" si="4"/>
        <v>2</v>
      </c>
      <c r="J31" s="18">
        <v>1</v>
      </c>
      <c r="K31" s="19" t="s">
        <v>13</v>
      </c>
      <c r="L31" s="16">
        <v>25320.03</v>
      </c>
      <c r="M31" s="18">
        <v>4751</v>
      </c>
      <c r="N31" s="20">
        <v>45695</v>
      </c>
      <c r="O31" s="40" t="s">
        <v>42</v>
      </c>
      <c r="P31" s="53"/>
    </row>
    <row r="32" spans="1:16" ht="24.75" customHeight="1">
      <c r="A32" s="25" t="s">
        <v>14</v>
      </c>
      <c r="B32" s="50" t="s">
        <v>14</v>
      </c>
      <c r="C32" s="29" t="s">
        <v>110</v>
      </c>
      <c r="D32" s="27">
        <f>SUBTOTAL(109,Table132456[Pajamos 
(GBO)])</f>
        <v>413823.14619999984</v>
      </c>
      <c r="E32" s="27" t="s">
        <v>98</v>
      </c>
      <c r="F32" s="43">
        <f>(D32-E32)/E32</f>
        <v>-0.18970694369385277</v>
      </c>
      <c r="G32" s="34">
        <f>SUBTOTAL(109,Table132456[Žiūrovų sk. 
(ADM)])</f>
        <v>53828</v>
      </c>
      <c r="H32" s="36"/>
      <c r="I32" s="25"/>
      <c r="J32" s="36"/>
      <c r="K32" s="48"/>
      <c r="L32" s="32"/>
      <c r="M32" s="36"/>
      <c r="N32" s="38"/>
      <c r="O32" s="41"/>
      <c r="P32" s="52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7BB1F-BCDB-4701-A6C8-9B2E024C7805}">
  <sheetPr>
    <pageSetUpPr fitToPage="1"/>
  </sheetPr>
  <dimension ref="A1:XFC64"/>
  <sheetViews>
    <sheetView topLeftCell="A3" zoomScale="60" zoomScaleNormal="60" workbookViewId="0">
      <selection activeCell="O9" sqref="O9"/>
    </sheetView>
  </sheetViews>
  <sheetFormatPr defaultColWidth="0" defaultRowHeight="11.4" zeroHeight="1"/>
  <cols>
    <col min="1" max="2" width="4.75" style="1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5" s="4" customFormat="1" ht="40.5" customHeight="1" thickBot="1">
      <c r="A1" s="96" t="s">
        <v>100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4.9" customHeight="1">
      <c r="A3" s="7">
        <v>1</v>
      </c>
      <c r="B3" s="12" t="s">
        <v>49</v>
      </c>
      <c r="C3" s="8" t="s">
        <v>89</v>
      </c>
      <c r="D3" s="9">
        <v>146273.04</v>
      </c>
      <c r="E3" s="10" t="s">
        <v>13</v>
      </c>
      <c r="F3" s="10" t="s">
        <v>13</v>
      </c>
      <c r="G3" s="11">
        <v>17584</v>
      </c>
      <c r="H3" s="11">
        <v>140</v>
      </c>
      <c r="I3" s="12">
        <f t="shared" ref="I3:I15" si="0">G3/H3</f>
        <v>125.6</v>
      </c>
      <c r="J3" s="11">
        <v>16</v>
      </c>
      <c r="K3" s="12">
        <v>1</v>
      </c>
      <c r="L3" s="9">
        <v>187416.88</v>
      </c>
      <c r="M3" s="11">
        <v>22281</v>
      </c>
      <c r="N3" s="13">
        <v>46045</v>
      </c>
      <c r="O3" s="39" t="s">
        <v>42</v>
      </c>
    </row>
    <row r="4" spans="1:15" s="2" customFormat="1" ht="24.6" customHeight="1">
      <c r="A4" s="14">
        <v>2</v>
      </c>
      <c r="B4" s="19">
        <v>1</v>
      </c>
      <c r="C4" s="15" t="s">
        <v>71</v>
      </c>
      <c r="D4" s="16">
        <v>93702</v>
      </c>
      <c r="E4" s="16">
        <v>153494</v>
      </c>
      <c r="F4" s="17">
        <f>(D4-E4)/E4</f>
        <v>-0.38953965627320936</v>
      </c>
      <c r="G4" s="18">
        <v>11891</v>
      </c>
      <c r="H4" s="18">
        <v>22</v>
      </c>
      <c r="I4" s="19">
        <f t="shared" si="0"/>
        <v>540.5</v>
      </c>
      <c r="J4" s="18">
        <v>40</v>
      </c>
      <c r="K4" s="19">
        <v>3</v>
      </c>
      <c r="L4" s="16">
        <v>660516</v>
      </c>
      <c r="M4" s="18">
        <v>86536</v>
      </c>
      <c r="N4" s="20">
        <v>46031</v>
      </c>
      <c r="O4" s="40" t="s">
        <v>74</v>
      </c>
    </row>
    <row r="5" spans="1:15" s="21" customFormat="1" ht="24.9" customHeight="1">
      <c r="A5" s="7">
        <v>3</v>
      </c>
      <c r="B5" s="12">
        <v>2</v>
      </c>
      <c r="C5" s="8" t="s">
        <v>16</v>
      </c>
      <c r="D5" s="9">
        <v>67830.06</v>
      </c>
      <c r="E5" s="9">
        <v>107499.9</v>
      </c>
      <c r="F5" s="10">
        <f>(D5-E5)/E5</f>
        <v>-0.36902211071824254</v>
      </c>
      <c r="G5" s="11">
        <v>7008</v>
      </c>
      <c r="H5" s="11">
        <v>83</v>
      </c>
      <c r="I5" s="12">
        <f t="shared" si="0"/>
        <v>84.433734939759034</v>
      </c>
      <c r="J5" s="11">
        <v>19</v>
      </c>
      <c r="K5" s="12">
        <v>6</v>
      </c>
      <c r="L5" s="9">
        <v>1859487.28</v>
      </c>
      <c r="M5" s="11">
        <v>204210</v>
      </c>
      <c r="N5" s="13">
        <v>46010</v>
      </c>
      <c r="O5" s="39" t="s">
        <v>37</v>
      </c>
    </row>
    <row r="6" spans="1:15" s="2" customFormat="1" ht="24.9" customHeight="1">
      <c r="A6" s="14">
        <v>4</v>
      </c>
      <c r="B6" s="12">
        <v>3</v>
      </c>
      <c r="C6" s="8" t="s">
        <v>79</v>
      </c>
      <c r="D6" s="9">
        <v>49604.65</v>
      </c>
      <c r="E6" s="9">
        <v>61983.08</v>
      </c>
      <c r="F6" s="10">
        <f>(D6-E6)/E6</f>
        <v>-0.19970659734882487</v>
      </c>
      <c r="G6" s="11">
        <v>8422</v>
      </c>
      <c r="H6" s="11">
        <v>150</v>
      </c>
      <c r="I6" s="12">
        <f t="shared" si="0"/>
        <v>56.146666666666668</v>
      </c>
      <c r="J6" s="11">
        <v>18</v>
      </c>
      <c r="K6" s="12">
        <v>2</v>
      </c>
      <c r="L6" s="9">
        <v>125094.86</v>
      </c>
      <c r="M6" s="11">
        <v>21697</v>
      </c>
      <c r="N6" s="13">
        <v>46038</v>
      </c>
      <c r="O6" s="39" t="s">
        <v>42</v>
      </c>
    </row>
    <row r="7" spans="1:15" s="2" customFormat="1" ht="24.9" customHeight="1">
      <c r="A7" s="7">
        <v>5</v>
      </c>
      <c r="B7" s="12" t="s">
        <v>49</v>
      </c>
      <c r="C7" s="8" t="s">
        <v>93</v>
      </c>
      <c r="D7" s="9">
        <v>39256.660000000003</v>
      </c>
      <c r="E7" s="9" t="s">
        <v>13</v>
      </c>
      <c r="F7" s="10" t="s">
        <v>13</v>
      </c>
      <c r="G7" s="11">
        <v>5018</v>
      </c>
      <c r="H7" s="11">
        <v>81</v>
      </c>
      <c r="I7" s="12">
        <f t="shared" si="0"/>
        <v>61.950617283950621</v>
      </c>
      <c r="J7" s="11">
        <v>19</v>
      </c>
      <c r="K7" s="12">
        <v>1</v>
      </c>
      <c r="L7" s="9">
        <v>42901.279999999999</v>
      </c>
      <c r="M7" s="11">
        <v>5594</v>
      </c>
      <c r="N7" s="13">
        <v>46045</v>
      </c>
      <c r="O7" s="39" t="s">
        <v>94</v>
      </c>
    </row>
    <row r="8" spans="1:15" s="2" customFormat="1" ht="24.6" customHeight="1">
      <c r="A8" s="14">
        <v>6</v>
      </c>
      <c r="B8" s="12">
        <v>4</v>
      </c>
      <c r="C8" s="8" t="s">
        <v>18</v>
      </c>
      <c r="D8" s="23">
        <v>25967.01</v>
      </c>
      <c r="E8" s="9">
        <v>31689.86</v>
      </c>
      <c r="F8" s="10">
        <f>(D8-E8)/E8</f>
        <v>-0.18058931153372096</v>
      </c>
      <c r="G8" s="22">
        <v>4165</v>
      </c>
      <c r="H8" s="11">
        <v>67</v>
      </c>
      <c r="I8" s="12">
        <f t="shared" si="0"/>
        <v>62.164179104477611</v>
      </c>
      <c r="J8" s="11">
        <v>13</v>
      </c>
      <c r="K8" s="12">
        <v>9</v>
      </c>
      <c r="L8" s="23">
        <v>1140845.2</v>
      </c>
      <c r="M8" s="22">
        <v>181123</v>
      </c>
      <c r="N8" s="13">
        <v>45989</v>
      </c>
      <c r="O8" s="39" t="s">
        <v>37</v>
      </c>
    </row>
    <row r="9" spans="1:15" s="2" customFormat="1" ht="24.6" customHeight="1">
      <c r="A9" s="7">
        <v>7</v>
      </c>
      <c r="B9" s="19">
        <v>5</v>
      </c>
      <c r="C9" s="15" t="s">
        <v>78</v>
      </c>
      <c r="D9" s="16">
        <v>17872.990000000002</v>
      </c>
      <c r="E9" s="16">
        <v>25931.67</v>
      </c>
      <c r="F9" s="17">
        <f>(D9-E9)/E9</f>
        <v>-0.31076594758455578</v>
      </c>
      <c r="G9" s="18">
        <v>2378</v>
      </c>
      <c r="H9" s="18">
        <v>32</v>
      </c>
      <c r="I9" s="19">
        <f t="shared" si="0"/>
        <v>74.3125</v>
      </c>
      <c r="J9" s="18">
        <v>12</v>
      </c>
      <c r="K9" s="19">
        <v>2</v>
      </c>
      <c r="L9" s="16">
        <v>63441.61</v>
      </c>
      <c r="M9" s="18">
        <v>8476</v>
      </c>
      <c r="N9" s="20">
        <v>46038</v>
      </c>
      <c r="O9" s="40" t="s">
        <v>47</v>
      </c>
    </row>
    <row r="10" spans="1:15" s="2" customFormat="1" ht="24.6" customHeight="1">
      <c r="A10" s="14">
        <v>8</v>
      </c>
      <c r="B10" s="12">
        <v>8</v>
      </c>
      <c r="C10" s="8" t="s">
        <v>17</v>
      </c>
      <c r="D10" s="9">
        <v>16128.88</v>
      </c>
      <c r="E10" s="9">
        <v>21011.22</v>
      </c>
      <c r="F10" s="10">
        <f>(D10-E10)/E10</f>
        <v>-0.23236822992667736</v>
      </c>
      <c r="G10" s="11">
        <v>2667</v>
      </c>
      <c r="H10" s="11">
        <v>57</v>
      </c>
      <c r="I10" s="12">
        <f t="shared" si="0"/>
        <v>46.789473684210527</v>
      </c>
      <c r="J10" s="11">
        <v>19</v>
      </c>
      <c r="K10" s="12">
        <v>5</v>
      </c>
      <c r="L10" s="9">
        <v>282214.57</v>
      </c>
      <c r="M10" s="11">
        <v>46455</v>
      </c>
      <c r="N10" s="13">
        <v>46017</v>
      </c>
      <c r="O10" s="39" t="s">
        <v>38</v>
      </c>
    </row>
    <row r="11" spans="1:15" s="2" customFormat="1" ht="24.9" customHeight="1">
      <c r="A11" s="7">
        <v>9</v>
      </c>
      <c r="B11" s="12">
        <v>6</v>
      </c>
      <c r="C11" s="8" t="s">
        <v>64</v>
      </c>
      <c r="D11" s="9">
        <v>10400.549999999999</v>
      </c>
      <c r="E11" s="9">
        <v>25871.08</v>
      </c>
      <c r="F11" s="10">
        <f>(D11-E11)/E11</f>
        <v>-0.59798547258173995</v>
      </c>
      <c r="G11" s="11">
        <v>1377</v>
      </c>
      <c r="H11" s="11">
        <v>24</v>
      </c>
      <c r="I11" s="12">
        <f t="shared" si="0"/>
        <v>57.375</v>
      </c>
      <c r="J11" s="11">
        <v>7</v>
      </c>
      <c r="K11" s="12">
        <v>3</v>
      </c>
      <c r="L11" s="9">
        <v>93651.73</v>
      </c>
      <c r="M11" s="11">
        <v>12403</v>
      </c>
      <c r="N11" s="13">
        <v>46031</v>
      </c>
      <c r="O11" s="39" t="s">
        <v>42</v>
      </c>
    </row>
    <row r="12" spans="1:15" s="2" customFormat="1" ht="24.9" customHeight="1">
      <c r="A12" s="14">
        <v>10</v>
      </c>
      <c r="B12" s="12" t="s">
        <v>49</v>
      </c>
      <c r="C12" s="8" t="s">
        <v>90</v>
      </c>
      <c r="D12" s="9">
        <v>10107.24</v>
      </c>
      <c r="E12" s="10" t="s">
        <v>13</v>
      </c>
      <c r="F12" s="10" t="s">
        <v>13</v>
      </c>
      <c r="G12" s="11">
        <v>1211</v>
      </c>
      <c r="H12" s="11">
        <v>45</v>
      </c>
      <c r="I12" s="12">
        <f t="shared" si="0"/>
        <v>26.911111111111111</v>
      </c>
      <c r="J12" s="11">
        <v>11</v>
      </c>
      <c r="K12" s="12">
        <v>1</v>
      </c>
      <c r="L12" s="9">
        <v>11732.88</v>
      </c>
      <c r="M12" s="11">
        <v>1394</v>
      </c>
      <c r="N12" s="13">
        <v>46045</v>
      </c>
      <c r="O12" s="39" t="s">
        <v>39</v>
      </c>
    </row>
    <row r="13" spans="1:15" s="2" customFormat="1" ht="24.9" customHeight="1">
      <c r="A13" s="7">
        <v>11</v>
      </c>
      <c r="B13" s="12">
        <v>7</v>
      </c>
      <c r="C13" s="8" t="s">
        <v>80</v>
      </c>
      <c r="D13" s="9">
        <v>9478.11</v>
      </c>
      <c r="E13" s="9">
        <v>24693.7</v>
      </c>
      <c r="F13" s="10">
        <f>(D13-E13)/E13</f>
        <v>-0.6161729509955981</v>
      </c>
      <c r="G13" s="11">
        <v>1205</v>
      </c>
      <c r="H13" s="11">
        <v>35</v>
      </c>
      <c r="I13" s="12">
        <f t="shared" si="0"/>
        <v>34.428571428571431</v>
      </c>
      <c r="J13" s="11">
        <v>8</v>
      </c>
      <c r="K13" s="12">
        <v>2</v>
      </c>
      <c r="L13" s="9">
        <v>47166.11</v>
      </c>
      <c r="M13" s="11">
        <v>6369</v>
      </c>
      <c r="N13" s="13">
        <v>46038</v>
      </c>
      <c r="O13" s="39" t="s">
        <v>39</v>
      </c>
    </row>
    <row r="14" spans="1:15" s="2" customFormat="1" ht="24.9" customHeight="1">
      <c r="A14" s="14">
        <v>12</v>
      </c>
      <c r="B14" s="12">
        <v>10</v>
      </c>
      <c r="C14" s="8" t="s">
        <v>52</v>
      </c>
      <c r="D14" s="9">
        <v>5381.33</v>
      </c>
      <c r="E14" s="9">
        <v>10148.52</v>
      </c>
      <c r="F14" s="10">
        <f>(D14-E14)/E14</f>
        <v>-0.46974238608191149</v>
      </c>
      <c r="G14" s="11">
        <v>874</v>
      </c>
      <c r="H14" s="11">
        <v>26</v>
      </c>
      <c r="I14" s="12">
        <f t="shared" si="0"/>
        <v>33.615384615384613</v>
      </c>
      <c r="J14" s="11">
        <v>11</v>
      </c>
      <c r="K14" s="12">
        <v>3</v>
      </c>
      <c r="L14" s="9">
        <v>33309.47</v>
      </c>
      <c r="M14" s="11">
        <v>5700</v>
      </c>
      <c r="N14" s="13">
        <v>46031</v>
      </c>
      <c r="O14" s="39" t="s">
        <v>42</v>
      </c>
    </row>
    <row r="15" spans="1:15" s="2" customFormat="1" ht="24.9" customHeight="1">
      <c r="A15" s="7">
        <v>13</v>
      </c>
      <c r="B15" s="12" t="s">
        <v>49</v>
      </c>
      <c r="C15" s="8" t="s">
        <v>92</v>
      </c>
      <c r="D15" s="9">
        <v>4787</v>
      </c>
      <c r="E15" s="9" t="s">
        <v>13</v>
      </c>
      <c r="F15" s="10" t="s">
        <v>13</v>
      </c>
      <c r="G15" s="11">
        <v>608</v>
      </c>
      <c r="H15" s="11">
        <v>36</v>
      </c>
      <c r="I15" s="12">
        <f t="shared" si="0"/>
        <v>16.888888888888889</v>
      </c>
      <c r="J15" s="11">
        <v>13</v>
      </c>
      <c r="K15" s="12">
        <v>1</v>
      </c>
      <c r="L15" s="9">
        <v>4787</v>
      </c>
      <c r="M15" s="11">
        <v>608</v>
      </c>
      <c r="N15" s="13">
        <v>46045</v>
      </c>
      <c r="O15" s="39" t="s">
        <v>38</v>
      </c>
    </row>
    <row r="16" spans="1:15" s="2" customFormat="1" ht="24.9" customHeight="1">
      <c r="A16" s="14">
        <v>14</v>
      </c>
      <c r="B16" s="12">
        <v>11</v>
      </c>
      <c r="C16" s="8" t="s">
        <v>22</v>
      </c>
      <c r="D16" s="9">
        <v>4574.7700000000004</v>
      </c>
      <c r="E16" s="9">
        <v>6717.61</v>
      </c>
      <c r="F16" s="10">
        <f t="shared" ref="F16:F25" si="1">(D16-E16)/E16</f>
        <v>-0.31898844976115009</v>
      </c>
      <c r="G16" s="11">
        <v>775</v>
      </c>
      <c r="H16" s="12" t="s">
        <v>13</v>
      </c>
      <c r="I16" s="12" t="s">
        <v>13</v>
      </c>
      <c r="J16" s="12">
        <v>8</v>
      </c>
      <c r="K16" s="12">
        <v>6</v>
      </c>
      <c r="L16" s="9">
        <v>120925.40000000002</v>
      </c>
      <c r="M16" s="11">
        <v>19236</v>
      </c>
      <c r="N16" s="13">
        <v>46010</v>
      </c>
      <c r="O16" s="39" t="s">
        <v>41</v>
      </c>
    </row>
    <row r="17" spans="1:15" s="2" customFormat="1" ht="24.9" customHeight="1">
      <c r="A17" s="7">
        <v>15</v>
      </c>
      <c r="B17" s="12">
        <v>9</v>
      </c>
      <c r="C17" s="8" t="s">
        <v>84</v>
      </c>
      <c r="D17" s="9">
        <v>3121.35</v>
      </c>
      <c r="E17" s="9">
        <v>11429</v>
      </c>
      <c r="F17" s="10">
        <f t="shared" si="1"/>
        <v>-0.72689211654562946</v>
      </c>
      <c r="G17" s="11">
        <v>442</v>
      </c>
      <c r="H17" s="11">
        <v>16</v>
      </c>
      <c r="I17" s="12">
        <f>G17/H17</f>
        <v>27.625</v>
      </c>
      <c r="J17" s="11">
        <v>8</v>
      </c>
      <c r="K17" s="12">
        <v>2</v>
      </c>
      <c r="L17" s="9">
        <v>21677.27</v>
      </c>
      <c r="M17" s="11">
        <v>3276</v>
      </c>
      <c r="N17" s="13">
        <v>46038</v>
      </c>
      <c r="O17" s="39" t="s">
        <v>207</v>
      </c>
    </row>
    <row r="18" spans="1:15" s="2" customFormat="1" ht="24.9" customHeight="1">
      <c r="A18" s="14">
        <v>16</v>
      </c>
      <c r="B18" s="12">
        <v>12</v>
      </c>
      <c r="C18" s="8" t="s">
        <v>50</v>
      </c>
      <c r="D18" s="9">
        <v>1796.35</v>
      </c>
      <c r="E18" s="9">
        <v>4463.8</v>
      </c>
      <c r="F18" s="10">
        <f t="shared" si="1"/>
        <v>-0.5975738160311842</v>
      </c>
      <c r="G18" s="11">
        <v>264</v>
      </c>
      <c r="H18" s="11">
        <v>6</v>
      </c>
      <c r="I18" s="12">
        <f>G18/H18</f>
        <v>44</v>
      </c>
      <c r="J18" s="11">
        <v>3</v>
      </c>
      <c r="K18" s="12">
        <v>4</v>
      </c>
      <c r="L18" s="9">
        <v>43113.35</v>
      </c>
      <c r="M18" s="11">
        <v>6401</v>
      </c>
      <c r="N18" s="13">
        <v>46024</v>
      </c>
      <c r="O18" s="39" t="s">
        <v>51</v>
      </c>
    </row>
    <row r="19" spans="1:15" s="2" customFormat="1" ht="24.9" customHeight="1">
      <c r="A19" s="7">
        <v>17</v>
      </c>
      <c r="B19" s="12">
        <v>13</v>
      </c>
      <c r="C19" s="8" t="s">
        <v>21</v>
      </c>
      <c r="D19" s="9">
        <v>876.6</v>
      </c>
      <c r="E19" s="9">
        <v>3581.74</v>
      </c>
      <c r="F19" s="10">
        <f t="shared" si="1"/>
        <v>-0.75525861732007349</v>
      </c>
      <c r="G19" s="11">
        <v>121</v>
      </c>
      <c r="H19" s="11">
        <v>2</v>
      </c>
      <c r="I19" s="12">
        <f>G19/H19</f>
        <v>60.5</v>
      </c>
      <c r="J19" s="11">
        <v>2</v>
      </c>
      <c r="K19" s="12">
        <v>8</v>
      </c>
      <c r="L19" s="9">
        <v>340564.82</v>
      </c>
      <c r="M19" s="11">
        <v>46288</v>
      </c>
      <c r="N19" s="13">
        <v>45996</v>
      </c>
      <c r="O19" s="39" t="s">
        <v>207</v>
      </c>
    </row>
    <row r="20" spans="1:15" s="2" customFormat="1" ht="24.9" customHeight="1">
      <c r="A20" s="14">
        <v>18</v>
      </c>
      <c r="B20" s="12">
        <v>16</v>
      </c>
      <c r="C20" s="8" t="s">
        <v>25</v>
      </c>
      <c r="D20" s="9">
        <v>736</v>
      </c>
      <c r="E20" s="9">
        <v>1413</v>
      </c>
      <c r="F20" s="10">
        <f t="shared" si="1"/>
        <v>-0.47912243453644726</v>
      </c>
      <c r="G20" s="11">
        <v>96</v>
      </c>
      <c r="H20" s="12" t="s">
        <v>13</v>
      </c>
      <c r="I20" s="12" t="s">
        <v>13</v>
      </c>
      <c r="J20" s="11">
        <v>1</v>
      </c>
      <c r="K20" s="12">
        <v>9</v>
      </c>
      <c r="L20" s="9">
        <v>123320</v>
      </c>
      <c r="M20" s="11">
        <v>17596</v>
      </c>
      <c r="N20" s="13">
        <v>45989</v>
      </c>
      <c r="O20" s="39" t="s">
        <v>44</v>
      </c>
    </row>
    <row r="21" spans="1:15" s="2" customFormat="1" ht="24.9" customHeight="1">
      <c r="A21" s="7">
        <v>19</v>
      </c>
      <c r="B21" s="19">
        <v>15</v>
      </c>
      <c r="C21" s="15" t="s">
        <v>70</v>
      </c>
      <c r="D21" s="16">
        <v>722.39</v>
      </c>
      <c r="E21" s="16">
        <v>1459.31</v>
      </c>
      <c r="F21" s="17">
        <f t="shared" si="1"/>
        <v>-0.50497838019337904</v>
      </c>
      <c r="G21" s="18">
        <v>90</v>
      </c>
      <c r="H21" s="18">
        <v>5</v>
      </c>
      <c r="I21" s="19">
        <f t="shared" ref="I21:I31" si="2">G21/H21</f>
        <v>18</v>
      </c>
      <c r="J21" s="18">
        <v>2</v>
      </c>
      <c r="K21" s="19">
        <v>3</v>
      </c>
      <c r="L21" s="16">
        <v>7704.44</v>
      </c>
      <c r="M21" s="18">
        <v>1077</v>
      </c>
      <c r="N21" s="20">
        <v>46031</v>
      </c>
      <c r="O21" s="40" t="s">
        <v>76</v>
      </c>
    </row>
    <row r="22" spans="1:15" s="2" customFormat="1" ht="24.75" customHeight="1">
      <c r="A22" s="14">
        <v>20</v>
      </c>
      <c r="B22" s="12">
        <v>14</v>
      </c>
      <c r="C22" s="8" t="s">
        <v>19</v>
      </c>
      <c r="D22" s="9">
        <v>584</v>
      </c>
      <c r="E22" s="9">
        <v>1520</v>
      </c>
      <c r="F22" s="10">
        <f t="shared" si="1"/>
        <v>-0.61578947368421055</v>
      </c>
      <c r="G22" s="11">
        <v>81</v>
      </c>
      <c r="H22" s="11">
        <v>1</v>
      </c>
      <c r="I22" s="12">
        <f t="shared" si="2"/>
        <v>81</v>
      </c>
      <c r="J22" s="11">
        <v>1</v>
      </c>
      <c r="K22" s="12">
        <v>5</v>
      </c>
      <c r="L22" s="9">
        <v>92247.72</v>
      </c>
      <c r="M22" s="11">
        <v>12218</v>
      </c>
      <c r="N22" s="13">
        <v>46017</v>
      </c>
      <c r="O22" s="39" t="s">
        <v>39</v>
      </c>
    </row>
    <row r="23" spans="1:15" ht="24.75" customHeight="1">
      <c r="A23" s="7">
        <v>21</v>
      </c>
      <c r="B23" s="12">
        <v>18</v>
      </c>
      <c r="C23" s="8" t="s">
        <v>29</v>
      </c>
      <c r="D23" s="9">
        <v>464.77</v>
      </c>
      <c r="E23" s="9">
        <v>916.44</v>
      </c>
      <c r="F23" s="10">
        <f t="shared" si="1"/>
        <v>-0.49285277814150413</v>
      </c>
      <c r="G23" s="11">
        <v>102</v>
      </c>
      <c r="H23" s="11">
        <v>6</v>
      </c>
      <c r="I23" s="12">
        <f t="shared" si="2"/>
        <v>17</v>
      </c>
      <c r="J23" s="11">
        <v>3</v>
      </c>
      <c r="K23" s="12">
        <v>4</v>
      </c>
      <c r="L23" s="9">
        <v>30201.829999999998</v>
      </c>
      <c r="M23" s="11">
        <v>5294</v>
      </c>
      <c r="N23" s="13">
        <v>46024</v>
      </c>
      <c r="O23" s="42" t="s">
        <v>46</v>
      </c>
    </row>
    <row r="24" spans="1:15" ht="24.9" customHeight="1">
      <c r="A24" s="14">
        <v>22</v>
      </c>
      <c r="B24" s="12">
        <v>19</v>
      </c>
      <c r="C24" s="8" t="s">
        <v>72</v>
      </c>
      <c r="D24" s="9">
        <v>346.7</v>
      </c>
      <c r="E24" s="9">
        <v>550</v>
      </c>
      <c r="F24" s="10">
        <f t="shared" si="1"/>
        <v>-0.36963636363636365</v>
      </c>
      <c r="G24" s="11">
        <v>58</v>
      </c>
      <c r="H24" s="11">
        <v>2</v>
      </c>
      <c r="I24" s="12">
        <f t="shared" si="2"/>
        <v>29</v>
      </c>
      <c r="J24" s="11">
        <v>2</v>
      </c>
      <c r="K24" s="12">
        <v>3</v>
      </c>
      <c r="L24" s="9">
        <v>4241.7</v>
      </c>
      <c r="M24" s="11">
        <v>688</v>
      </c>
      <c r="N24" s="13">
        <v>46031</v>
      </c>
      <c r="O24" s="39" t="s">
        <v>51</v>
      </c>
    </row>
    <row r="25" spans="1:15" ht="24.9" customHeight="1">
      <c r="A25" s="7">
        <v>23</v>
      </c>
      <c r="B25" s="12">
        <v>20</v>
      </c>
      <c r="C25" s="8" t="s">
        <v>26</v>
      </c>
      <c r="D25" s="9">
        <v>330.1</v>
      </c>
      <c r="E25" s="9">
        <v>469.5</v>
      </c>
      <c r="F25" s="10">
        <f t="shared" si="1"/>
        <v>-0.29691160809371669</v>
      </c>
      <c r="G25" s="11">
        <v>40</v>
      </c>
      <c r="H25" s="11">
        <v>2</v>
      </c>
      <c r="I25" s="12">
        <f t="shared" si="2"/>
        <v>20</v>
      </c>
      <c r="J25" s="11">
        <v>1</v>
      </c>
      <c r="K25" s="12">
        <v>11</v>
      </c>
      <c r="L25" s="9">
        <v>321312.65000000002</v>
      </c>
      <c r="M25" s="11">
        <v>41481</v>
      </c>
      <c r="N25" s="13">
        <v>45975</v>
      </c>
      <c r="O25" s="39" t="s">
        <v>42</v>
      </c>
    </row>
    <row r="26" spans="1:15" ht="24.9" customHeight="1">
      <c r="A26" s="14">
        <v>24</v>
      </c>
      <c r="B26" s="10" t="s">
        <v>13</v>
      </c>
      <c r="C26" s="8" t="s">
        <v>91</v>
      </c>
      <c r="D26" s="9">
        <v>135.80000000000001</v>
      </c>
      <c r="E26" s="10" t="s">
        <v>13</v>
      </c>
      <c r="F26" s="10" t="s">
        <v>13</v>
      </c>
      <c r="G26" s="11">
        <v>39</v>
      </c>
      <c r="H26" s="11">
        <v>1</v>
      </c>
      <c r="I26" s="12">
        <f t="shared" si="2"/>
        <v>39</v>
      </c>
      <c r="J26" s="11">
        <v>1</v>
      </c>
      <c r="K26" s="10" t="s">
        <v>13</v>
      </c>
      <c r="L26" s="9">
        <v>88353.77</v>
      </c>
      <c r="M26" s="11">
        <v>18245</v>
      </c>
      <c r="N26" s="13">
        <v>44855</v>
      </c>
      <c r="O26" s="39" t="s">
        <v>42</v>
      </c>
    </row>
    <row r="27" spans="1:15" ht="24.9" customHeight="1">
      <c r="A27" s="7">
        <v>25</v>
      </c>
      <c r="B27" s="19">
        <v>30</v>
      </c>
      <c r="C27" s="15" t="s">
        <v>35</v>
      </c>
      <c r="D27" s="16">
        <v>84.6</v>
      </c>
      <c r="E27" s="16">
        <v>21</v>
      </c>
      <c r="F27" s="17">
        <f>(D27-E27)/E27</f>
        <v>3.0285714285714285</v>
      </c>
      <c r="G27" s="18">
        <v>10</v>
      </c>
      <c r="H27" s="18">
        <v>1</v>
      </c>
      <c r="I27" s="19">
        <f t="shared" si="2"/>
        <v>10</v>
      </c>
      <c r="J27" s="18">
        <v>1</v>
      </c>
      <c r="K27" s="10" t="s">
        <v>13</v>
      </c>
      <c r="L27" s="16">
        <v>377152.89</v>
      </c>
      <c r="M27" s="18">
        <v>63597</v>
      </c>
      <c r="N27" s="20">
        <v>45744</v>
      </c>
      <c r="O27" s="40" t="s">
        <v>47</v>
      </c>
    </row>
    <row r="28" spans="1:15" ht="24.9" customHeight="1">
      <c r="A28" s="14">
        <v>26</v>
      </c>
      <c r="B28" s="12" t="s">
        <v>13</v>
      </c>
      <c r="C28" s="8" t="s">
        <v>34</v>
      </c>
      <c r="D28" s="9">
        <v>60.28</v>
      </c>
      <c r="E28" s="9">
        <v>209</v>
      </c>
      <c r="F28" s="10">
        <f>(D28-E28)/E28</f>
        <v>-0.71157894736842109</v>
      </c>
      <c r="G28" s="11">
        <v>7</v>
      </c>
      <c r="H28" s="11">
        <v>1</v>
      </c>
      <c r="I28" s="12">
        <f t="shared" si="2"/>
        <v>7</v>
      </c>
      <c r="J28" s="11">
        <v>1</v>
      </c>
      <c r="K28" s="10" t="s">
        <v>13</v>
      </c>
      <c r="L28" s="9">
        <v>7237.66</v>
      </c>
      <c r="M28" s="11">
        <v>1160</v>
      </c>
      <c r="N28" s="13">
        <v>45989</v>
      </c>
      <c r="O28" s="39" t="s">
        <v>46</v>
      </c>
    </row>
    <row r="29" spans="1:15" ht="24.9" customHeight="1">
      <c r="A29" s="7">
        <v>27</v>
      </c>
      <c r="B29" s="12" t="s">
        <v>13</v>
      </c>
      <c r="C29" s="8" t="s">
        <v>57</v>
      </c>
      <c r="D29" s="9">
        <v>51.6</v>
      </c>
      <c r="E29" s="9" t="s">
        <v>13</v>
      </c>
      <c r="F29" s="10" t="s">
        <v>13</v>
      </c>
      <c r="G29" s="11">
        <v>11</v>
      </c>
      <c r="H29" s="11">
        <v>1</v>
      </c>
      <c r="I29" s="12">
        <f t="shared" si="2"/>
        <v>11</v>
      </c>
      <c r="J29" s="11">
        <v>1</v>
      </c>
      <c r="K29" s="12" t="s">
        <v>13</v>
      </c>
      <c r="L29" s="9">
        <v>61731.29</v>
      </c>
      <c r="M29" s="11">
        <v>12772</v>
      </c>
      <c r="N29" s="13">
        <v>45765</v>
      </c>
      <c r="O29" s="39" t="s">
        <v>40</v>
      </c>
    </row>
    <row r="30" spans="1:15" s="21" customFormat="1" ht="24.6" customHeight="1">
      <c r="A30" s="14">
        <v>28</v>
      </c>
      <c r="B30" s="7" t="s">
        <v>13</v>
      </c>
      <c r="C30" s="15" t="s">
        <v>58</v>
      </c>
      <c r="D30" s="16">
        <v>18.600000000000001</v>
      </c>
      <c r="E30" s="16" t="s">
        <v>13</v>
      </c>
      <c r="F30" s="10" t="s">
        <v>13</v>
      </c>
      <c r="G30" s="18">
        <v>4</v>
      </c>
      <c r="H30" s="11">
        <v>1</v>
      </c>
      <c r="I30" s="12">
        <f t="shared" si="2"/>
        <v>4</v>
      </c>
      <c r="J30" s="11">
        <v>1</v>
      </c>
      <c r="K30" s="12" t="s">
        <v>13</v>
      </c>
      <c r="L30" s="9">
        <v>71784.14</v>
      </c>
      <c r="M30" s="11">
        <v>14048</v>
      </c>
      <c r="N30" s="13">
        <v>45513</v>
      </c>
      <c r="O30" s="39" t="s">
        <v>42</v>
      </c>
    </row>
    <row r="31" spans="1:15" s="44" customFormat="1" ht="24.9" customHeight="1">
      <c r="A31" s="7">
        <v>29</v>
      </c>
      <c r="B31" s="12">
        <v>22</v>
      </c>
      <c r="C31" s="8" t="s">
        <v>33</v>
      </c>
      <c r="D31" s="9">
        <v>15</v>
      </c>
      <c r="E31" s="9">
        <v>281</v>
      </c>
      <c r="F31" s="10">
        <f>(D31-E31)/E31</f>
        <v>-0.94661921708185048</v>
      </c>
      <c r="G31" s="11">
        <v>4</v>
      </c>
      <c r="H31" s="11">
        <v>1</v>
      </c>
      <c r="I31" s="12">
        <f t="shared" si="2"/>
        <v>4</v>
      </c>
      <c r="J31" s="11">
        <v>1</v>
      </c>
      <c r="K31" s="12">
        <v>4</v>
      </c>
      <c r="L31" s="9">
        <v>22587.91</v>
      </c>
      <c r="M31" s="11">
        <v>3129</v>
      </c>
      <c r="N31" s="13">
        <v>46024</v>
      </c>
      <c r="O31" s="39" t="s">
        <v>46</v>
      </c>
    </row>
    <row r="32" spans="1:15" s="2" customFormat="1" ht="24.9" customHeight="1">
      <c r="A32" s="14">
        <v>30</v>
      </c>
      <c r="B32" s="19" t="s">
        <v>49</v>
      </c>
      <c r="C32" s="15" t="s">
        <v>95</v>
      </c>
      <c r="D32" s="16" t="s">
        <v>96</v>
      </c>
      <c r="E32" s="17" t="s">
        <v>13</v>
      </c>
      <c r="F32" s="17" t="s">
        <v>13</v>
      </c>
      <c r="G32" s="18" t="s">
        <v>96</v>
      </c>
      <c r="H32" s="18" t="s">
        <v>96</v>
      </c>
      <c r="I32" s="19" t="s">
        <v>96</v>
      </c>
      <c r="J32" s="18" t="s">
        <v>96</v>
      </c>
      <c r="K32" s="19" t="s">
        <v>96</v>
      </c>
      <c r="L32" s="16" t="s">
        <v>96</v>
      </c>
      <c r="M32" s="18" t="s">
        <v>96</v>
      </c>
      <c r="N32" s="20">
        <v>46045</v>
      </c>
      <c r="O32" s="40" t="s">
        <v>97</v>
      </c>
    </row>
    <row r="33" spans="1:15" ht="24.75" customHeight="1">
      <c r="A33" s="25" t="s">
        <v>14</v>
      </c>
      <c r="B33" s="50" t="s">
        <v>14</v>
      </c>
      <c r="C33" s="29" t="s">
        <v>62</v>
      </c>
      <c r="D33" s="27">
        <f>SUBTOTAL(109,Table13245[Pajamos 
(GBO)])</f>
        <v>510708.42999999993</v>
      </c>
      <c r="E33" s="27" t="s">
        <v>88</v>
      </c>
      <c r="F33" s="43">
        <f>(D33-E33)/E33</f>
        <v>2.6440258625714114E-2</v>
      </c>
      <c r="G33" s="34">
        <f>SUBTOTAL(109,Table13245[Žiūrovų sk. 
(ADM)])</f>
        <v>66552</v>
      </c>
      <c r="H33" s="36" t="s">
        <v>14</v>
      </c>
      <c r="I33" s="25"/>
      <c r="J33" s="36"/>
      <c r="K33" s="48"/>
      <c r="L33" s="32"/>
      <c r="M33" s="36"/>
      <c r="N33" s="38"/>
      <c r="O33" s="41"/>
    </row>
    <row r="34" spans="1:15"/>
    <row r="35" spans="1:15"/>
    <row r="36" spans="1:15"/>
    <row r="37" spans="1:15"/>
    <row r="38" spans="1:15"/>
    <row r="39" spans="1:15"/>
    <row r="40" spans="1:15"/>
    <row r="41" spans="1:15"/>
    <row r="42" spans="1:15"/>
    <row r="43" spans="1:15"/>
    <row r="44" spans="1:15"/>
    <row r="45" spans="1:15"/>
    <row r="46" spans="1:15"/>
    <row r="47" spans="1:15"/>
    <row r="48" spans="1:1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FF971-5EDF-4D21-9801-B25F7A4DEF41}">
  <sheetPr>
    <pageSetUpPr fitToPage="1"/>
  </sheetPr>
  <dimension ref="A1:XFC53"/>
  <sheetViews>
    <sheetView topLeftCell="A7" zoomScale="60" zoomScaleNormal="60" workbookViewId="0">
      <selection activeCell="O28" sqref="O28"/>
    </sheetView>
  </sheetViews>
  <sheetFormatPr defaultColWidth="0" defaultRowHeight="11.4" zeroHeight="1"/>
  <cols>
    <col min="1" max="2" width="4.75" style="1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49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5" s="4" customFormat="1" ht="40.5" customHeight="1" thickBot="1">
      <c r="A1" s="96" t="s">
        <v>101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47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4.6" customHeight="1">
      <c r="A3" s="7">
        <v>1</v>
      </c>
      <c r="B3" s="7">
        <v>1</v>
      </c>
      <c r="C3" s="8" t="s">
        <v>71</v>
      </c>
      <c r="D3" s="9">
        <v>153494</v>
      </c>
      <c r="E3" s="9">
        <v>283737</v>
      </c>
      <c r="F3" s="10">
        <f>(D3-E3)/E3</f>
        <v>-0.45902719772183398</v>
      </c>
      <c r="G3" s="11">
        <v>19675</v>
      </c>
      <c r="H3" s="11">
        <v>40</v>
      </c>
      <c r="I3" s="12">
        <f t="shared" ref="I3:I12" si="0">G3/H3</f>
        <v>491.875</v>
      </c>
      <c r="J3" s="11">
        <v>22</v>
      </c>
      <c r="K3" s="12">
        <v>2</v>
      </c>
      <c r="L3" s="9">
        <v>518835</v>
      </c>
      <c r="M3" s="11">
        <v>67644</v>
      </c>
      <c r="N3" s="13">
        <v>46031</v>
      </c>
      <c r="O3" s="39" t="s">
        <v>74</v>
      </c>
    </row>
    <row r="4" spans="1:15" s="2" customFormat="1" ht="24.9" customHeight="1">
      <c r="A4" s="7">
        <v>2</v>
      </c>
      <c r="B4" s="7">
        <v>2</v>
      </c>
      <c r="C4" s="8" t="s">
        <v>16</v>
      </c>
      <c r="D4" s="9">
        <v>107499.9</v>
      </c>
      <c r="E4" s="9">
        <v>134862.07</v>
      </c>
      <c r="F4" s="10">
        <f>(D4-E4)/E4</f>
        <v>-0.20289003424016858</v>
      </c>
      <c r="G4" s="11">
        <v>10905</v>
      </c>
      <c r="H4" s="11">
        <v>119</v>
      </c>
      <c r="I4" s="12">
        <f t="shared" si="0"/>
        <v>91.638655462184872</v>
      </c>
      <c r="J4" s="11">
        <v>20</v>
      </c>
      <c r="K4" s="12">
        <v>5</v>
      </c>
      <c r="L4" s="9">
        <v>1760647.37</v>
      </c>
      <c r="M4" s="11">
        <v>193668</v>
      </c>
      <c r="N4" s="13">
        <v>46010</v>
      </c>
      <c r="O4" s="39" t="s">
        <v>37</v>
      </c>
    </row>
    <row r="5" spans="1:15" s="2" customFormat="1" ht="24.9" customHeight="1">
      <c r="A5" s="7">
        <v>3</v>
      </c>
      <c r="B5" s="7" t="s">
        <v>49</v>
      </c>
      <c r="C5" s="8" t="s">
        <v>79</v>
      </c>
      <c r="D5" s="9">
        <v>61983.08</v>
      </c>
      <c r="E5" s="10" t="s">
        <v>13</v>
      </c>
      <c r="F5" s="10" t="s">
        <v>13</v>
      </c>
      <c r="G5" s="11">
        <v>10382</v>
      </c>
      <c r="H5" s="11">
        <v>143</v>
      </c>
      <c r="I5" s="12">
        <f t="shared" si="0"/>
        <v>72.6013986013986</v>
      </c>
      <c r="J5" s="11">
        <v>17</v>
      </c>
      <c r="K5" s="12">
        <v>1</v>
      </c>
      <c r="L5" s="9">
        <v>61983.08</v>
      </c>
      <c r="M5" s="11">
        <v>10382</v>
      </c>
      <c r="N5" s="13">
        <v>46038</v>
      </c>
      <c r="O5" s="39" t="s">
        <v>42</v>
      </c>
    </row>
    <row r="6" spans="1:15" s="2" customFormat="1" ht="24.6" customHeight="1">
      <c r="A6" s="7">
        <v>4</v>
      </c>
      <c r="B6" s="7">
        <v>3</v>
      </c>
      <c r="C6" s="8" t="s">
        <v>18</v>
      </c>
      <c r="D6" s="23">
        <v>31689.86</v>
      </c>
      <c r="E6" s="9">
        <v>41321.449999999997</v>
      </c>
      <c r="F6" s="10">
        <f>(D6-E6)/E6</f>
        <v>-0.23308935189834812</v>
      </c>
      <c r="G6" s="22">
        <v>4977</v>
      </c>
      <c r="H6" s="11">
        <v>70</v>
      </c>
      <c r="I6" s="12">
        <f t="shared" si="0"/>
        <v>71.099999999999994</v>
      </c>
      <c r="J6" s="11">
        <v>13</v>
      </c>
      <c r="K6" s="12">
        <v>8</v>
      </c>
      <c r="L6" s="23">
        <v>1110201.8400000001</v>
      </c>
      <c r="M6" s="22">
        <v>176165</v>
      </c>
      <c r="N6" s="13">
        <v>45989</v>
      </c>
      <c r="O6" s="39" t="s">
        <v>37</v>
      </c>
    </row>
    <row r="7" spans="1:15" s="2" customFormat="1" ht="24.9" customHeight="1">
      <c r="A7" s="7">
        <v>5</v>
      </c>
      <c r="B7" s="7" t="s">
        <v>49</v>
      </c>
      <c r="C7" s="8" t="s">
        <v>78</v>
      </c>
      <c r="D7" s="9">
        <v>25931.67</v>
      </c>
      <c r="E7" s="10" t="s">
        <v>13</v>
      </c>
      <c r="F7" s="10" t="s">
        <v>13</v>
      </c>
      <c r="G7" s="11">
        <v>3506</v>
      </c>
      <c r="H7" s="11">
        <v>51</v>
      </c>
      <c r="I7" s="12">
        <f t="shared" si="0"/>
        <v>68.745098039215691</v>
      </c>
      <c r="J7" s="11">
        <v>15</v>
      </c>
      <c r="K7" s="12">
        <v>1</v>
      </c>
      <c r="L7" s="9">
        <v>32525.02</v>
      </c>
      <c r="M7" s="11">
        <v>4221</v>
      </c>
      <c r="N7" s="13">
        <v>46038</v>
      </c>
      <c r="O7" s="39" t="s">
        <v>47</v>
      </c>
    </row>
    <row r="8" spans="1:15" s="2" customFormat="1" ht="24.9" customHeight="1">
      <c r="A8" s="7">
        <v>6</v>
      </c>
      <c r="B8" s="7">
        <v>4</v>
      </c>
      <c r="C8" s="8" t="s">
        <v>64</v>
      </c>
      <c r="D8" s="9">
        <v>25871.08</v>
      </c>
      <c r="E8" s="9">
        <v>35480.57</v>
      </c>
      <c r="F8" s="10">
        <f>(D8-E8)/E8</f>
        <v>-0.2708380953293591</v>
      </c>
      <c r="G8" s="11">
        <v>3275</v>
      </c>
      <c r="H8" s="11">
        <v>68</v>
      </c>
      <c r="I8" s="12">
        <f t="shared" si="0"/>
        <v>48.161764705882355</v>
      </c>
      <c r="J8" s="11">
        <v>12</v>
      </c>
      <c r="K8" s="12">
        <v>2</v>
      </c>
      <c r="L8" s="9">
        <v>76564.44</v>
      </c>
      <c r="M8" s="11">
        <v>9952</v>
      </c>
      <c r="N8" s="13">
        <v>46031</v>
      </c>
      <c r="O8" s="39" t="s">
        <v>42</v>
      </c>
    </row>
    <row r="9" spans="1:15" s="2" customFormat="1" ht="24.9" customHeight="1">
      <c r="A9" s="7">
        <v>7</v>
      </c>
      <c r="B9" s="7" t="s">
        <v>49</v>
      </c>
      <c r="C9" s="8" t="s">
        <v>80</v>
      </c>
      <c r="D9" s="9">
        <v>24693.7</v>
      </c>
      <c r="E9" s="10" t="s">
        <v>13</v>
      </c>
      <c r="F9" s="10" t="s">
        <v>13</v>
      </c>
      <c r="G9" s="11">
        <v>3171</v>
      </c>
      <c r="H9" s="11">
        <v>81</v>
      </c>
      <c r="I9" s="12">
        <f t="shared" si="0"/>
        <v>39.148148148148145</v>
      </c>
      <c r="J9" s="11">
        <v>15</v>
      </c>
      <c r="K9" s="12">
        <v>1</v>
      </c>
      <c r="L9" s="9">
        <v>27488.83</v>
      </c>
      <c r="M9" s="11">
        <v>3548</v>
      </c>
      <c r="N9" s="13">
        <v>46038</v>
      </c>
      <c r="O9" s="39" t="s">
        <v>39</v>
      </c>
    </row>
    <row r="10" spans="1:15" s="2" customFormat="1" ht="24.9" customHeight="1">
      <c r="A10" s="7">
        <v>8</v>
      </c>
      <c r="B10" s="7">
        <v>5</v>
      </c>
      <c r="C10" s="8" t="s">
        <v>17</v>
      </c>
      <c r="D10" s="9">
        <v>21011.22</v>
      </c>
      <c r="E10" s="9">
        <v>20551.599999999999</v>
      </c>
      <c r="F10" s="10">
        <f>(D10-E10)/E10</f>
        <v>2.2364195488429255E-2</v>
      </c>
      <c r="G10" s="11">
        <v>3496</v>
      </c>
      <c r="H10" s="11">
        <v>61</v>
      </c>
      <c r="I10" s="12">
        <f t="shared" si="0"/>
        <v>57.311475409836063</v>
      </c>
      <c r="J10" s="11">
        <v>16</v>
      </c>
      <c r="K10" s="12">
        <v>4</v>
      </c>
      <c r="L10" s="9">
        <v>263313.05</v>
      </c>
      <c r="M10" s="11">
        <v>43283</v>
      </c>
      <c r="N10" s="13">
        <v>46017</v>
      </c>
      <c r="O10" s="39" t="s">
        <v>38</v>
      </c>
    </row>
    <row r="11" spans="1:15" s="2" customFormat="1" ht="24.9" customHeight="1">
      <c r="A11" s="7">
        <v>9</v>
      </c>
      <c r="B11" s="7" t="s">
        <v>49</v>
      </c>
      <c r="C11" s="8" t="s">
        <v>84</v>
      </c>
      <c r="D11" s="9">
        <v>11429</v>
      </c>
      <c r="E11" s="9" t="s">
        <v>13</v>
      </c>
      <c r="F11" s="10" t="s">
        <v>13</v>
      </c>
      <c r="G11" s="11">
        <v>1613</v>
      </c>
      <c r="H11" s="11">
        <v>58</v>
      </c>
      <c r="I11" s="12">
        <f t="shared" si="0"/>
        <v>27.810344827586206</v>
      </c>
      <c r="J11" s="11">
        <v>16</v>
      </c>
      <c r="K11" s="12">
        <v>1</v>
      </c>
      <c r="L11" s="9">
        <v>12675.88</v>
      </c>
      <c r="M11" s="11">
        <v>1799</v>
      </c>
      <c r="N11" s="13">
        <v>46038</v>
      </c>
      <c r="O11" s="39" t="s">
        <v>207</v>
      </c>
    </row>
    <row r="12" spans="1:15" s="2" customFormat="1" ht="24.75" customHeight="1">
      <c r="A12" s="7">
        <v>10</v>
      </c>
      <c r="B12" s="7">
        <v>6</v>
      </c>
      <c r="C12" s="8" t="s">
        <v>52</v>
      </c>
      <c r="D12" s="9">
        <v>10148.52</v>
      </c>
      <c r="E12" s="9">
        <v>14077.61</v>
      </c>
      <c r="F12" s="10">
        <f t="shared" ref="F12:F26" si="1">(D12-E12)/E12</f>
        <v>-0.27910206348947014</v>
      </c>
      <c r="G12" s="11">
        <v>1780</v>
      </c>
      <c r="H12" s="11">
        <v>45</v>
      </c>
      <c r="I12" s="12">
        <f t="shared" si="0"/>
        <v>39.555555555555557</v>
      </c>
      <c r="J12" s="11">
        <v>13</v>
      </c>
      <c r="K12" s="12">
        <v>2</v>
      </c>
      <c r="L12" s="9">
        <v>26873.33</v>
      </c>
      <c r="M12" s="11">
        <v>4593</v>
      </c>
      <c r="N12" s="13">
        <v>46031</v>
      </c>
      <c r="O12" s="39" t="s">
        <v>42</v>
      </c>
    </row>
    <row r="13" spans="1:15" s="2" customFormat="1" ht="24.9" customHeight="1">
      <c r="A13" s="7">
        <v>11</v>
      </c>
      <c r="B13" s="7">
        <v>7</v>
      </c>
      <c r="C13" s="8" t="s">
        <v>22</v>
      </c>
      <c r="D13" s="9">
        <v>6717.61</v>
      </c>
      <c r="E13" s="9">
        <v>6886.25</v>
      </c>
      <c r="F13" s="10">
        <f t="shared" si="1"/>
        <v>-2.4489381012888049E-2</v>
      </c>
      <c r="G13" s="11">
        <v>1037</v>
      </c>
      <c r="H13" s="12" t="s">
        <v>13</v>
      </c>
      <c r="I13" s="12" t="s">
        <v>13</v>
      </c>
      <c r="J13" s="12" t="s">
        <v>13</v>
      </c>
      <c r="K13" s="12">
        <v>5</v>
      </c>
      <c r="L13" s="9">
        <v>112256.16000000002</v>
      </c>
      <c r="M13" s="11">
        <v>17752</v>
      </c>
      <c r="N13" s="13">
        <v>46010</v>
      </c>
      <c r="O13" s="39" t="s">
        <v>41</v>
      </c>
    </row>
    <row r="14" spans="1:15" s="2" customFormat="1" ht="24.9" customHeight="1">
      <c r="A14" s="7">
        <v>12</v>
      </c>
      <c r="B14" s="7">
        <v>9</v>
      </c>
      <c r="C14" s="8" t="s">
        <v>50</v>
      </c>
      <c r="D14" s="9">
        <v>4463.8</v>
      </c>
      <c r="E14" s="9">
        <v>5305.77</v>
      </c>
      <c r="F14" s="10">
        <f t="shared" si="1"/>
        <v>-0.158689502183472</v>
      </c>
      <c r="G14" s="11">
        <v>629</v>
      </c>
      <c r="H14" s="11">
        <v>11</v>
      </c>
      <c r="I14" s="12">
        <f>G14/H14</f>
        <v>57.18181818181818</v>
      </c>
      <c r="J14" s="11">
        <v>6</v>
      </c>
      <c r="K14" s="12">
        <v>3</v>
      </c>
      <c r="L14" s="9">
        <v>39329.600000000006</v>
      </c>
      <c r="M14" s="11">
        <v>5787</v>
      </c>
      <c r="N14" s="13">
        <v>46024</v>
      </c>
      <c r="O14" s="39" t="s">
        <v>51</v>
      </c>
    </row>
    <row r="15" spans="1:15" s="2" customFormat="1" ht="24.9" customHeight="1">
      <c r="A15" s="7">
        <v>13</v>
      </c>
      <c r="B15" s="7">
        <v>11</v>
      </c>
      <c r="C15" s="8" t="s">
        <v>21</v>
      </c>
      <c r="D15" s="9">
        <v>3581.74</v>
      </c>
      <c r="E15" s="9">
        <v>4759.54</v>
      </c>
      <c r="F15" s="10">
        <f t="shared" si="1"/>
        <v>-0.24746088907751593</v>
      </c>
      <c r="G15" s="11">
        <v>514</v>
      </c>
      <c r="H15" s="11">
        <v>12</v>
      </c>
      <c r="I15" s="12">
        <f>G15/H15</f>
        <v>42.833333333333336</v>
      </c>
      <c r="J15" s="11">
        <v>4</v>
      </c>
      <c r="K15" s="12">
        <v>7</v>
      </c>
      <c r="L15" s="9">
        <v>339242.95</v>
      </c>
      <c r="M15" s="11">
        <v>46090</v>
      </c>
      <c r="N15" s="13">
        <v>45996</v>
      </c>
      <c r="O15" s="39" t="s">
        <v>207</v>
      </c>
    </row>
    <row r="16" spans="1:15" s="2" customFormat="1" ht="24.9" customHeight="1">
      <c r="A16" s="7">
        <v>14</v>
      </c>
      <c r="B16" s="7">
        <v>8</v>
      </c>
      <c r="C16" s="8" t="s">
        <v>19</v>
      </c>
      <c r="D16" s="9">
        <v>1520</v>
      </c>
      <c r="E16" s="9">
        <v>5717.25</v>
      </c>
      <c r="F16" s="10">
        <f t="shared" si="1"/>
        <v>-0.73413791595609779</v>
      </c>
      <c r="G16" s="11">
        <v>201</v>
      </c>
      <c r="H16" s="11">
        <v>3</v>
      </c>
      <c r="I16" s="12">
        <f>G16/H16</f>
        <v>67</v>
      </c>
      <c r="J16" s="11">
        <v>1</v>
      </c>
      <c r="K16" s="12">
        <v>4</v>
      </c>
      <c r="L16" s="9">
        <v>91268.51</v>
      </c>
      <c r="M16" s="11">
        <v>12057</v>
      </c>
      <c r="N16" s="13">
        <v>46017</v>
      </c>
      <c r="O16" s="39" t="s">
        <v>39</v>
      </c>
    </row>
    <row r="17" spans="1:15" s="2" customFormat="1" ht="24.9" customHeight="1">
      <c r="A17" s="7">
        <v>15</v>
      </c>
      <c r="B17" s="7">
        <v>12</v>
      </c>
      <c r="C17" s="8" t="s">
        <v>70</v>
      </c>
      <c r="D17" s="9">
        <v>1459.31</v>
      </c>
      <c r="E17" s="9">
        <v>3333.08</v>
      </c>
      <c r="F17" s="10">
        <f t="shared" si="1"/>
        <v>-0.56217372520311548</v>
      </c>
      <c r="G17" s="11">
        <v>195</v>
      </c>
      <c r="H17" s="11">
        <v>5</v>
      </c>
      <c r="I17" s="12">
        <f>G17/H17</f>
        <v>39</v>
      </c>
      <c r="J17" s="11">
        <v>2</v>
      </c>
      <c r="K17" s="12">
        <v>2</v>
      </c>
      <c r="L17" s="9">
        <v>5836.63</v>
      </c>
      <c r="M17" s="11">
        <v>814</v>
      </c>
      <c r="N17" s="13">
        <v>46031</v>
      </c>
      <c r="O17" s="39" t="s">
        <v>76</v>
      </c>
    </row>
    <row r="18" spans="1:15" s="2" customFormat="1" ht="24.9" customHeight="1">
      <c r="A18" s="7">
        <v>16</v>
      </c>
      <c r="B18" s="7">
        <v>17</v>
      </c>
      <c r="C18" s="8" t="s">
        <v>25</v>
      </c>
      <c r="D18" s="9">
        <v>1413</v>
      </c>
      <c r="E18" s="9">
        <v>1689</v>
      </c>
      <c r="F18" s="10">
        <f t="shared" si="1"/>
        <v>-0.16341030195381884</v>
      </c>
      <c r="G18" s="11">
        <v>193</v>
      </c>
      <c r="H18" s="12" t="s">
        <v>13</v>
      </c>
      <c r="I18" s="12" t="s">
        <v>13</v>
      </c>
      <c r="J18" s="11">
        <v>3</v>
      </c>
      <c r="K18" s="12">
        <v>8</v>
      </c>
      <c r="L18" s="9">
        <v>121676</v>
      </c>
      <c r="M18" s="11">
        <v>17308</v>
      </c>
      <c r="N18" s="13">
        <v>45989</v>
      </c>
      <c r="O18" s="39" t="s">
        <v>44</v>
      </c>
    </row>
    <row r="19" spans="1:15" s="2" customFormat="1" ht="24.9" customHeight="1">
      <c r="A19" s="7">
        <v>17</v>
      </c>
      <c r="B19" s="7">
        <v>15</v>
      </c>
      <c r="C19" s="8" t="s">
        <v>61</v>
      </c>
      <c r="D19" s="9">
        <v>1034.73</v>
      </c>
      <c r="E19" s="9">
        <v>2028.79</v>
      </c>
      <c r="F19" s="10">
        <f t="shared" si="1"/>
        <v>-0.48997678419156243</v>
      </c>
      <c r="G19" s="11">
        <v>167</v>
      </c>
      <c r="H19" s="11">
        <v>5</v>
      </c>
      <c r="I19" s="12">
        <f t="shared" ref="I19:I29" si="2">G19/H19</f>
        <v>33.4</v>
      </c>
      <c r="J19" s="11">
        <v>4</v>
      </c>
      <c r="K19" s="12">
        <v>3</v>
      </c>
      <c r="L19" s="9">
        <v>17223.25</v>
      </c>
      <c r="M19" s="11">
        <v>2492</v>
      </c>
      <c r="N19" s="13">
        <v>46024</v>
      </c>
      <c r="O19" s="39" t="s">
        <v>37</v>
      </c>
    </row>
    <row r="20" spans="1:15" s="21" customFormat="1" ht="24.9" customHeight="1">
      <c r="A20" s="7">
        <v>18</v>
      </c>
      <c r="B20" s="7">
        <v>10</v>
      </c>
      <c r="C20" s="8" t="s">
        <v>29</v>
      </c>
      <c r="D20" s="9">
        <v>916.44</v>
      </c>
      <c r="E20" s="9">
        <v>4918.7299999999996</v>
      </c>
      <c r="F20" s="10">
        <f t="shared" si="1"/>
        <v>-0.81368361345306606</v>
      </c>
      <c r="G20" s="11">
        <v>195</v>
      </c>
      <c r="H20" s="11">
        <v>11</v>
      </c>
      <c r="I20" s="12">
        <f t="shared" si="2"/>
        <v>17.727272727272727</v>
      </c>
      <c r="J20" s="11">
        <v>5</v>
      </c>
      <c r="K20" s="12">
        <v>3</v>
      </c>
      <c r="L20" s="9">
        <v>29737.059999999998</v>
      </c>
      <c r="M20" s="11">
        <v>5192</v>
      </c>
      <c r="N20" s="13">
        <v>46024</v>
      </c>
      <c r="O20" s="42" t="s">
        <v>46</v>
      </c>
    </row>
    <row r="21" spans="1:15" s="21" customFormat="1" ht="24.9" customHeight="1">
      <c r="A21" s="7">
        <v>19</v>
      </c>
      <c r="B21" s="7">
        <v>14</v>
      </c>
      <c r="C21" s="8" t="s">
        <v>72</v>
      </c>
      <c r="D21" s="9">
        <v>550</v>
      </c>
      <c r="E21" s="9">
        <v>2230</v>
      </c>
      <c r="F21" s="10">
        <f t="shared" si="1"/>
        <v>-0.75336322869955152</v>
      </c>
      <c r="G21" s="11">
        <v>86</v>
      </c>
      <c r="H21" s="11">
        <v>3</v>
      </c>
      <c r="I21" s="12">
        <f t="shared" si="2"/>
        <v>28.666666666666668</v>
      </c>
      <c r="J21" s="11">
        <v>3</v>
      </c>
      <c r="K21" s="12">
        <v>2</v>
      </c>
      <c r="L21" s="9">
        <v>3894.75</v>
      </c>
      <c r="M21" s="11">
        <v>630</v>
      </c>
      <c r="N21" s="13">
        <v>46031</v>
      </c>
      <c r="O21" s="39" t="s">
        <v>51</v>
      </c>
    </row>
    <row r="22" spans="1:15" s="2" customFormat="1" ht="24.9" customHeight="1">
      <c r="A22" s="7">
        <v>20</v>
      </c>
      <c r="B22" s="7">
        <v>21</v>
      </c>
      <c r="C22" s="8" t="s">
        <v>26</v>
      </c>
      <c r="D22" s="9">
        <v>469.5</v>
      </c>
      <c r="E22" s="9">
        <v>489.2</v>
      </c>
      <c r="F22" s="10">
        <f t="shared" si="1"/>
        <v>-4.0269828291087467E-2</v>
      </c>
      <c r="G22" s="11">
        <v>57</v>
      </c>
      <c r="H22" s="11">
        <v>2</v>
      </c>
      <c r="I22" s="12">
        <f t="shared" si="2"/>
        <v>28.5</v>
      </c>
      <c r="J22" s="11">
        <v>1</v>
      </c>
      <c r="K22" s="12">
        <v>10</v>
      </c>
      <c r="L22" s="9">
        <v>321020.55</v>
      </c>
      <c r="M22" s="11">
        <v>41445</v>
      </c>
      <c r="N22" s="13">
        <v>45975</v>
      </c>
      <c r="O22" s="39" t="s">
        <v>42</v>
      </c>
    </row>
    <row r="23" spans="1:15" s="2" customFormat="1" ht="24.9" customHeight="1">
      <c r="A23" s="7">
        <v>21</v>
      </c>
      <c r="B23" s="7">
        <v>16</v>
      </c>
      <c r="C23" s="8" t="s">
        <v>20</v>
      </c>
      <c r="D23" s="9">
        <v>426.94</v>
      </c>
      <c r="E23" s="9">
        <v>1814.6</v>
      </c>
      <c r="F23" s="10">
        <f t="shared" si="1"/>
        <v>-0.76471949740989742</v>
      </c>
      <c r="G23" s="11">
        <v>60</v>
      </c>
      <c r="H23" s="11">
        <v>2</v>
      </c>
      <c r="I23" s="12">
        <f t="shared" si="2"/>
        <v>30</v>
      </c>
      <c r="J23" s="11">
        <v>1</v>
      </c>
      <c r="K23" s="12">
        <v>5</v>
      </c>
      <c r="L23" s="9">
        <v>127216.59</v>
      </c>
      <c r="M23" s="11">
        <v>23260</v>
      </c>
      <c r="N23" s="13">
        <v>46010</v>
      </c>
      <c r="O23" s="39" t="s">
        <v>40</v>
      </c>
    </row>
    <row r="24" spans="1:15" s="2" customFormat="1" ht="24.75" customHeight="1">
      <c r="A24" s="7">
        <v>22</v>
      </c>
      <c r="B24" s="7">
        <v>13</v>
      </c>
      <c r="C24" s="8" t="s">
        <v>33</v>
      </c>
      <c r="D24" s="9">
        <v>281</v>
      </c>
      <c r="E24" s="9">
        <v>2701.64</v>
      </c>
      <c r="F24" s="10">
        <f t="shared" si="1"/>
        <v>-0.89598910291526623</v>
      </c>
      <c r="G24" s="11">
        <v>50</v>
      </c>
      <c r="H24" s="11">
        <v>3</v>
      </c>
      <c r="I24" s="12">
        <f t="shared" si="2"/>
        <v>16.666666666666668</v>
      </c>
      <c r="J24" s="11">
        <v>3</v>
      </c>
      <c r="K24" s="12">
        <v>3</v>
      </c>
      <c r="L24" s="9">
        <v>22572.91</v>
      </c>
      <c r="M24" s="11">
        <v>3125</v>
      </c>
      <c r="N24" s="13">
        <v>46024</v>
      </c>
      <c r="O24" s="39" t="s">
        <v>46</v>
      </c>
    </row>
    <row r="25" spans="1:15" ht="24.75" customHeight="1">
      <c r="A25" s="7">
        <v>23</v>
      </c>
      <c r="B25" s="14">
        <v>23</v>
      </c>
      <c r="C25" s="8" t="s">
        <v>73</v>
      </c>
      <c r="D25" s="9">
        <v>251</v>
      </c>
      <c r="E25" s="9">
        <v>367.5</v>
      </c>
      <c r="F25" s="17">
        <f t="shared" si="1"/>
        <v>-0.31700680272108844</v>
      </c>
      <c r="G25" s="11">
        <v>44</v>
      </c>
      <c r="H25" s="11">
        <v>1</v>
      </c>
      <c r="I25" s="12">
        <f t="shared" si="2"/>
        <v>44</v>
      </c>
      <c r="J25" s="11">
        <v>1</v>
      </c>
      <c r="K25" s="12">
        <v>2</v>
      </c>
      <c r="L25" s="9">
        <v>8044</v>
      </c>
      <c r="M25" s="11">
        <v>1425</v>
      </c>
      <c r="N25" s="13">
        <v>46003</v>
      </c>
      <c r="O25" s="39" t="s">
        <v>51</v>
      </c>
    </row>
    <row r="26" spans="1:15" ht="24.9" customHeight="1">
      <c r="A26" s="7">
        <v>24</v>
      </c>
      <c r="B26" s="7">
        <v>25</v>
      </c>
      <c r="C26" s="8" t="s">
        <v>54</v>
      </c>
      <c r="D26" s="9">
        <v>243.35</v>
      </c>
      <c r="E26" s="9">
        <v>211.55</v>
      </c>
      <c r="F26" s="10">
        <f t="shared" si="1"/>
        <v>0.15031907350508145</v>
      </c>
      <c r="G26" s="11">
        <v>33</v>
      </c>
      <c r="H26" s="11">
        <v>1</v>
      </c>
      <c r="I26" s="12">
        <f t="shared" si="2"/>
        <v>33</v>
      </c>
      <c r="J26" s="11">
        <v>1</v>
      </c>
      <c r="K26" s="12" t="s">
        <v>13</v>
      </c>
      <c r="L26" s="9">
        <v>312354.53000000003</v>
      </c>
      <c r="M26" s="11">
        <v>40427</v>
      </c>
      <c r="N26" s="13">
        <v>45926</v>
      </c>
      <c r="O26" s="39" t="s">
        <v>55</v>
      </c>
    </row>
    <row r="27" spans="1:15" ht="24.9" customHeight="1">
      <c r="A27" s="7">
        <v>25</v>
      </c>
      <c r="B27" s="10" t="s">
        <v>13</v>
      </c>
      <c r="C27" s="8" t="s">
        <v>34</v>
      </c>
      <c r="D27" s="9">
        <v>209</v>
      </c>
      <c r="E27" s="10" t="s">
        <v>13</v>
      </c>
      <c r="F27" s="10" t="s">
        <v>13</v>
      </c>
      <c r="G27" s="11">
        <v>32</v>
      </c>
      <c r="H27" s="11">
        <v>1</v>
      </c>
      <c r="I27" s="12">
        <f t="shared" si="2"/>
        <v>32</v>
      </c>
      <c r="J27" s="11">
        <v>1</v>
      </c>
      <c r="K27" s="12" t="s">
        <v>13</v>
      </c>
      <c r="L27" s="9">
        <v>7177.38</v>
      </c>
      <c r="M27" s="11">
        <v>1153</v>
      </c>
      <c r="N27" s="13">
        <v>45989</v>
      </c>
      <c r="O27" s="39" t="s">
        <v>46</v>
      </c>
    </row>
    <row r="28" spans="1:15" ht="24.9" customHeight="1">
      <c r="A28" s="7">
        <v>26</v>
      </c>
      <c r="B28" s="7">
        <v>22</v>
      </c>
      <c r="C28" s="8" t="s">
        <v>68</v>
      </c>
      <c r="D28" s="9">
        <v>154.80000000000001</v>
      </c>
      <c r="E28" s="9">
        <v>447</v>
      </c>
      <c r="F28" s="10">
        <f>(D28-E28)/E28</f>
        <v>-0.65369127516778525</v>
      </c>
      <c r="G28" s="11">
        <v>19</v>
      </c>
      <c r="H28" s="11">
        <v>2</v>
      </c>
      <c r="I28" s="12">
        <f t="shared" si="2"/>
        <v>9.5</v>
      </c>
      <c r="J28" s="11">
        <v>1</v>
      </c>
      <c r="K28" s="12" t="s">
        <v>13</v>
      </c>
      <c r="L28" s="9">
        <v>68134.64</v>
      </c>
      <c r="M28" s="11">
        <v>11189</v>
      </c>
      <c r="N28" s="13">
        <v>45954</v>
      </c>
      <c r="O28" s="39" t="s">
        <v>47</v>
      </c>
    </row>
    <row r="29" spans="1:15" ht="24.9" customHeight="1">
      <c r="A29" s="7">
        <v>27</v>
      </c>
      <c r="B29" s="7" t="s">
        <v>13</v>
      </c>
      <c r="C29" s="8" t="s">
        <v>81</v>
      </c>
      <c r="D29" s="9">
        <v>32.4</v>
      </c>
      <c r="E29" s="9" t="s">
        <v>13</v>
      </c>
      <c r="F29" s="10" t="s">
        <v>13</v>
      </c>
      <c r="G29" s="11">
        <v>6</v>
      </c>
      <c r="H29" s="11">
        <v>1</v>
      </c>
      <c r="I29" s="12">
        <f t="shared" si="2"/>
        <v>6</v>
      </c>
      <c r="J29" s="11">
        <v>1</v>
      </c>
      <c r="K29" s="12" t="s">
        <v>13</v>
      </c>
      <c r="L29" s="9">
        <v>13251.05</v>
      </c>
      <c r="M29" s="11">
        <v>2582</v>
      </c>
      <c r="N29" s="13" t="s">
        <v>82</v>
      </c>
      <c r="O29" s="39" t="s">
        <v>42</v>
      </c>
    </row>
    <row r="30" spans="1:15" ht="24.9" customHeight="1">
      <c r="A30" s="7">
        <v>28</v>
      </c>
      <c r="B30" s="7" t="s">
        <v>13</v>
      </c>
      <c r="C30" s="8" t="s">
        <v>85</v>
      </c>
      <c r="D30" s="9">
        <v>25</v>
      </c>
      <c r="E30" s="9" t="s">
        <v>13</v>
      </c>
      <c r="F30" s="10" t="s">
        <v>13</v>
      </c>
      <c r="G30" s="11">
        <v>5</v>
      </c>
      <c r="H30" s="11">
        <v>1</v>
      </c>
      <c r="I30" s="12" t="s">
        <v>13</v>
      </c>
      <c r="J30" s="11">
        <v>1</v>
      </c>
      <c r="K30" s="12" t="s">
        <v>13</v>
      </c>
      <c r="L30" s="9">
        <v>1867</v>
      </c>
      <c r="M30" s="11">
        <v>274</v>
      </c>
      <c r="N30" s="13">
        <v>45989</v>
      </c>
      <c r="O30" s="39" t="s">
        <v>86</v>
      </c>
    </row>
    <row r="31" spans="1:15" ht="24.9" customHeight="1">
      <c r="A31" s="7">
        <v>29</v>
      </c>
      <c r="B31" s="7" t="s">
        <v>13</v>
      </c>
      <c r="C31" s="8" t="s">
        <v>59</v>
      </c>
      <c r="D31" s="9">
        <v>22.2</v>
      </c>
      <c r="E31" s="9" t="s">
        <v>13</v>
      </c>
      <c r="F31" s="10" t="s">
        <v>13</v>
      </c>
      <c r="G31" s="11">
        <v>4</v>
      </c>
      <c r="H31" s="11">
        <v>1</v>
      </c>
      <c r="I31" s="12">
        <f>G31/H31</f>
        <v>4</v>
      </c>
      <c r="J31" s="11">
        <v>1</v>
      </c>
      <c r="K31" s="12" t="s">
        <v>13</v>
      </c>
      <c r="L31" s="9">
        <v>35013.4</v>
      </c>
      <c r="M31" s="11">
        <v>6969</v>
      </c>
      <c r="N31" s="13">
        <v>45667</v>
      </c>
      <c r="O31" s="39" t="s">
        <v>42</v>
      </c>
    </row>
    <row r="32" spans="1:15" ht="24.9" customHeight="1">
      <c r="A32" s="7">
        <v>30</v>
      </c>
      <c r="B32" s="7">
        <v>20</v>
      </c>
      <c r="C32" s="8" t="s">
        <v>35</v>
      </c>
      <c r="D32" s="9">
        <v>21</v>
      </c>
      <c r="E32" s="9">
        <v>492.25</v>
      </c>
      <c r="F32" s="10">
        <f>(D32-E32)/E32</f>
        <v>-0.95733875063483997</v>
      </c>
      <c r="G32" s="11">
        <v>2</v>
      </c>
      <c r="H32" s="11">
        <v>1</v>
      </c>
      <c r="I32" s="12">
        <f>G32/H32</f>
        <v>2</v>
      </c>
      <c r="J32" s="11">
        <v>1</v>
      </c>
      <c r="K32" s="12" t="s">
        <v>13</v>
      </c>
      <c r="L32" s="9">
        <v>377068.29</v>
      </c>
      <c r="M32" s="11">
        <v>63587</v>
      </c>
      <c r="N32" s="13">
        <v>45744</v>
      </c>
      <c r="O32" s="39" t="s">
        <v>47</v>
      </c>
    </row>
    <row r="33" spans="1:15" ht="24.9" customHeight="1">
      <c r="A33" s="7">
        <v>31</v>
      </c>
      <c r="B33" s="7" t="s">
        <v>13</v>
      </c>
      <c r="C33" s="8" t="s">
        <v>83</v>
      </c>
      <c r="D33" s="9">
        <v>8.4</v>
      </c>
      <c r="E33" s="9" t="s">
        <v>13</v>
      </c>
      <c r="F33" s="10" t="s">
        <v>13</v>
      </c>
      <c r="G33" s="11">
        <v>2</v>
      </c>
      <c r="H33" s="11">
        <v>1</v>
      </c>
      <c r="I33" s="12">
        <f>G33/H33</f>
        <v>2</v>
      </c>
      <c r="J33" s="11">
        <v>1</v>
      </c>
      <c r="K33" s="12" t="s">
        <v>13</v>
      </c>
      <c r="L33" s="9">
        <v>23468.65</v>
      </c>
      <c r="M33" s="11">
        <v>4587</v>
      </c>
      <c r="N33" s="13">
        <v>45912</v>
      </c>
      <c r="O33" s="39" t="s">
        <v>42</v>
      </c>
    </row>
    <row r="34" spans="1:15" ht="24.75" customHeight="1">
      <c r="A34" s="25" t="s">
        <v>14</v>
      </c>
      <c r="B34" s="26" t="s">
        <v>14</v>
      </c>
      <c r="C34" s="29" t="s">
        <v>87</v>
      </c>
      <c r="D34" s="27">
        <f>SUBTOTAL(109,Table1324[Pajamos 
(GBO)])</f>
        <v>497553.25</v>
      </c>
      <c r="E34" s="27" t="s">
        <v>77</v>
      </c>
      <c r="F34" s="43">
        <f>(D34-E34)/E34</f>
        <v>-0.13548835770792539</v>
      </c>
      <c r="G34" s="34">
        <f>SUBTOTAL(109,Table1324[Žiūrovų sk. 
(ADM)])</f>
        <v>66311</v>
      </c>
      <c r="H34" s="36"/>
      <c r="I34" s="25"/>
      <c r="J34" s="36"/>
      <c r="K34" s="48"/>
      <c r="L34" s="32"/>
      <c r="M34" s="36"/>
      <c r="N34" s="38"/>
      <c r="O34" s="41"/>
    </row>
    <row r="35" spans="1:15"/>
    <row r="36" spans="1:15"/>
    <row r="37" spans="1:15"/>
    <row r="38" spans="1:15"/>
    <row r="39" spans="1:15"/>
    <row r="40" spans="1:15"/>
    <row r="41" spans="1:15"/>
    <row r="42" spans="1:15"/>
    <row r="43" spans="1:15"/>
    <row r="44" spans="1:15"/>
    <row r="45" spans="1:15"/>
    <row r="46" spans="1:15"/>
    <row r="47" spans="1:15"/>
    <row r="48" spans="1:15"/>
    <row r="49"/>
    <row r="50"/>
    <row r="51"/>
    <row r="52"/>
    <row r="53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0BBB8-5108-4007-8E48-476854407336}">
  <sheetPr>
    <pageSetUpPr fitToPage="1"/>
  </sheetPr>
  <dimension ref="A1:XFC43"/>
  <sheetViews>
    <sheetView topLeftCell="A13" zoomScale="60" zoomScaleNormal="60" workbookViewId="0">
      <selection activeCell="O24" sqref="O24"/>
    </sheetView>
  </sheetViews>
  <sheetFormatPr defaultColWidth="0" defaultRowHeight="11.4" zeroHeight="1"/>
  <cols>
    <col min="1" max="2" width="4.75" style="1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1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5" s="4" customFormat="1" ht="40.5" customHeight="1" thickBot="1">
      <c r="A1" s="96" t="s">
        <v>102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24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4.9" customHeight="1">
      <c r="A3" s="7">
        <v>1</v>
      </c>
      <c r="B3" s="7" t="s">
        <v>49</v>
      </c>
      <c r="C3" s="8" t="s">
        <v>71</v>
      </c>
      <c r="D3" s="9">
        <v>283737</v>
      </c>
      <c r="E3" s="9" t="s">
        <v>13</v>
      </c>
      <c r="F3" s="10" t="s">
        <v>13</v>
      </c>
      <c r="G3" s="11">
        <v>36547</v>
      </c>
      <c r="H3" s="11">
        <v>40</v>
      </c>
      <c r="I3" s="12">
        <f t="shared" ref="I3:I8" si="0">G3/H3</f>
        <v>913.67499999999995</v>
      </c>
      <c r="J3" s="11">
        <v>22</v>
      </c>
      <c r="K3" s="12">
        <v>1</v>
      </c>
      <c r="L3" s="9">
        <v>283737</v>
      </c>
      <c r="M3" s="11">
        <v>36547</v>
      </c>
      <c r="N3" s="13">
        <v>46031</v>
      </c>
      <c r="O3" s="39" t="s">
        <v>74</v>
      </c>
    </row>
    <row r="4" spans="1:15" s="2" customFormat="1" ht="24.9" customHeight="1">
      <c r="A4" s="7">
        <v>2</v>
      </c>
      <c r="B4" s="7">
        <v>1</v>
      </c>
      <c r="C4" s="8" t="s">
        <v>16</v>
      </c>
      <c r="D4" s="9">
        <v>134862.07</v>
      </c>
      <c r="E4" s="9">
        <v>237921.73</v>
      </c>
      <c r="F4" s="10">
        <f>(D4-E4)/E4</f>
        <v>-0.43316623496306955</v>
      </c>
      <c r="G4" s="11">
        <v>14031</v>
      </c>
      <c r="H4" s="11">
        <v>155</v>
      </c>
      <c r="I4" s="12">
        <f t="shared" si="0"/>
        <v>90.522580645161284</v>
      </c>
      <c r="J4" s="11">
        <v>29</v>
      </c>
      <c r="K4" s="12">
        <v>4</v>
      </c>
      <c r="L4" s="9">
        <v>1605260.65</v>
      </c>
      <c r="M4" s="11">
        <v>177608</v>
      </c>
      <c r="N4" s="13">
        <v>46010</v>
      </c>
      <c r="O4" s="39" t="s">
        <v>37</v>
      </c>
    </row>
    <row r="5" spans="1:15" s="2" customFormat="1" ht="24.9" customHeight="1">
      <c r="A5" s="7">
        <v>3</v>
      </c>
      <c r="B5" s="7">
        <v>2</v>
      </c>
      <c r="C5" s="8" t="s">
        <v>18</v>
      </c>
      <c r="D5" s="23">
        <v>41321.449999999997</v>
      </c>
      <c r="E5" s="9">
        <v>79664.77</v>
      </c>
      <c r="F5" s="10">
        <f>(D5-E5)/E5</f>
        <v>-0.48130836252963516</v>
      </c>
      <c r="G5" s="22">
        <v>6358</v>
      </c>
      <c r="H5" s="11">
        <v>101</v>
      </c>
      <c r="I5" s="12">
        <f t="shared" si="0"/>
        <v>62.950495049504951</v>
      </c>
      <c r="J5" s="11">
        <v>17</v>
      </c>
      <c r="K5" s="12">
        <v>7</v>
      </c>
      <c r="L5" s="23">
        <v>1070217.92</v>
      </c>
      <c r="M5" s="22">
        <v>169715</v>
      </c>
      <c r="N5" s="13">
        <v>45989</v>
      </c>
      <c r="O5" s="39" t="s">
        <v>37</v>
      </c>
    </row>
    <row r="6" spans="1:15" s="2" customFormat="1" ht="24.9" customHeight="1">
      <c r="A6" s="7">
        <v>4</v>
      </c>
      <c r="B6" s="14" t="s">
        <v>49</v>
      </c>
      <c r="C6" s="15" t="s">
        <v>64</v>
      </c>
      <c r="D6" s="16">
        <v>35480.57</v>
      </c>
      <c r="E6" s="16" t="s">
        <v>13</v>
      </c>
      <c r="F6" s="17" t="s">
        <v>13</v>
      </c>
      <c r="G6" s="18">
        <v>4516</v>
      </c>
      <c r="H6" s="18">
        <v>89</v>
      </c>
      <c r="I6" s="19">
        <f t="shared" si="0"/>
        <v>50.741573033707866</v>
      </c>
      <c r="J6" s="18">
        <v>15</v>
      </c>
      <c r="K6" s="19">
        <v>1</v>
      </c>
      <c r="L6" s="16">
        <v>38512.83</v>
      </c>
      <c r="M6" s="18">
        <v>4931</v>
      </c>
      <c r="N6" s="20">
        <v>46031</v>
      </c>
      <c r="O6" s="40" t="s">
        <v>42</v>
      </c>
    </row>
    <row r="7" spans="1:15" s="21" customFormat="1" ht="24.9" customHeight="1">
      <c r="A7" s="7">
        <v>5</v>
      </c>
      <c r="B7" s="7">
        <v>3</v>
      </c>
      <c r="C7" s="8" t="s">
        <v>17</v>
      </c>
      <c r="D7" s="9">
        <v>20551.599999999999</v>
      </c>
      <c r="E7" s="9">
        <v>48189.15</v>
      </c>
      <c r="F7" s="10">
        <f>(D7-E7)/E7</f>
        <v>-0.5735222555284748</v>
      </c>
      <c r="G7" s="11">
        <v>3397</v>
      </c>
      <c r="H7" s="11">
        <v>76</v>
      </c>
      <c r="I7" s="12">
        <f t="shared" si="0"/>
        <v>44.69736842105263</v>
      </c>
      <c r="J7" s="11">
        <v>20</v>
      </c>
      <c r="K7" s="12">
        <v>3</v>
      </c>
      <c r="L7" s="9">
        <v>239467.51</v>
      </c>
      <c r="M7" s="11">
        <v>39253</v>
      </c>
      <c r="N7" s="13">
        <v>46017</v>
      </c>
      <c r="O7" s="39" t="s">
        <v>38</v>
      </c>
    </row>
    <row r="8" spans="1:15" s="2" customFormat="1" ht="24.9" customHeight="1">
      <c r="A8" s="7">
        <v>6</v>
      </c>
      <c r="B8" s="14" t="s">
        <v>49</v>
      </c>
      <c r="C8" s="15" t="s">
        <v>52</v>
      </c>
      <c r="D8" s="16">
        <v>14077.61</v>
      </c>
      <c r="E8" s="16" t="s">
        <v>13</v>
      </c>
      <c r="F8" s="17" t="s">
        <v>13</v>
      </c>
      <c r="G8" s="18">
        <v>2342</v>
      </c>
      <c r="H8" s="18">
        <v>88</v>
      </c>
      <c r="I8" s="19">
        <f t="shared" si="0"/>
        <v>26.613636363636363</v>
      </c>
      <c r="J8" s="18">
        <v>17</v>
      </c>
      <c r="K8" s="19">
        <v>1</v>
      </c>
      <c r="L8" s="16">
        <v>14430.66</v>
      </c>
      <c r="M8" s="18">
        <v>2399</v>
      </c>
      <c r="N8" s="20">
        <v>46031</v>
      </c>
      <c r="O8" s="40" t="s">
        <v>42</v>
      </c>
    </row>
    <row r="9" spans="1:15" s="2" customFormat="1" ht="24.9" customHeight="1">
      <c r="A9" s="7">
        <v>7</v>
      </c>
      <c r="B9" s="7">
        <v>5</v>
      </c>
      <c r="C9" s="8" t="s">
        <v>22</v>
      </c>
      <c r="D9" s="9">
        <v>9051.6</v>
      </c>
      <c r="E9" s="9">
        <v>14739.220000000001</v>
      </c>
      <c r="F9" s="10">
        <f>(D9-E9)/E9</f>
        <v>-0.38588337781782212</v>
      </c>
      <c r="G9" s="11">
        <v>1447</v>
      </c>
      <c r="H9" s="12" t="s">
        <v>13</v>
      </c>
      <c r="I9" s="12" t="s">
        <v>13</v>
      </c>
      <c r="J9" s="12" t="s">
        <v>13</v>
      </c>
      <c r="K9" s="12">
        <v>4</v>
      </c>
      <c r="L9" s="9">
        <v>100530.73000000001</v>
      </c>
      <c r="M9" s="11">
        <v>15803</v>
      </c>
      <c r="N9" s="13">
        <v>46010</v>
      </c>
      <c r="O9" s="39" t="s">
        <v>41</v>
      </c>
    </row>
    <row r="10" spans="1:15" s="2" customFormat="1" ht="24.9" customHeight="1">
      <c r="A10" s="7">
        <v>8</v>
      </c>
      <c r="B10" s="7">
        <v>6</v>
      </c>
      <c r="C10" s="15" t="s">
        <v>19</v>
      </c>
      <c r="D10" s="16">
        <v>5717.25</v>
      </c>
      <c r="E10" s="16">
        <v>19295.669999999998</v>
      </c>
      <c r="F10" s="17">
        <f>(D10-E10)/E10</f>
        <v>-0.70370295511894632</v>
      </c>
      <c r="G10" s="18">
        <v>709</v>
      </c>
      <c r="H10" s="18">
        <v>21</v>
      </c>
      <c r="I10" s="19">
        <f t="shared" ref="I10:I18" si="1">G10/H10</f>
        <v>33.761904761904759</v>
      </c>
      <c r="J10" s="18">
        <v>5</v>
      </c>
      <c r="K10" s="19">
        <v>3</v>
      </c>
      <c r="L10" s="16">
        <v>87931.83</v>
      </c>
      <c r="M10" s="18">
        <v>11613</v>
      </c>
      <c r="N10" s="20">
        <v>46017</v>
      </c>
      <c r="O10" s="40" t="s">
        <v>39</v>
      </c>
    </row>
    <row r="11" spans="1:15" s="2" customFormat="1" ht="24.9" customHeight="1">
      <c r="A11" s="7">
        <v>9</v>
      </c>
      <c r="B11" s="7">
        <v>4</v>
      </c>
      <c r="C11" s="8" t="s">
        <v>50</v>
      </c>
      <c r="D11" s="9">
        <v>5305.77</v>
      </c>
      <c r="E11" s="9">
        <v>22317</v>
      </c>
      <c r="F11" s="10" t="s">
        <v>13</v>
      </c>
      <c r="G11" s="11">
        <v>796</v>
      </c>
      <c r="H11" s="11">
        <v>14</v>
      </c>
      <c r="I11" s="12">
        <f t="shared" si="1"/>
        <v>56.857142857142854</v>
      </c>
      <c r="J11" s="11">
        <v>7</v>
      </c>
      <c r="K11" s="12">
        <v>2</v>
      </c>
      <c r="L11" s="9">
        <v>32569</v>
      </c>
      <c r="M11" s="11">
        <v>4800</v>
      </c>
      <c r="N11" s="13">
        <v>46024</v>
      </c>
      <c r="O11" s="39" t="s">
        <v>51</v>
      </c>
    </row>
    <row r="12" spans="1:15" s="2" customFormat="1" ht="24.75" customHeight="1">
      <c r="A12" s="7">
        <v>10</v>
      </c>
      <c r="B12" s="7">
        <v>7</v>
      </c>
      <c r="C12" s="8" t="s">
        <v>29</v>
      </c>
      <c r="D12" s="9">
        <v>4918.7299999999996</v>
      </c>
      <c r="E12" s="9">
        <v>17957.86</v>
      </c>
      <c r="F12" s="10">
        <f>(D12-E12)/E12</f>
        <v>-0.72609598248343621</v>
      </c>
      <c r="G12" s="11">
        <v>883</v>
      </c>
      <c r="H12" s="11">
        <v>39</v>
      </c>
      <c r="I12" s="12">
        <f t="shared" si="1"/>
        <v>22.641025641025642</v>
      </c>
      <c r="J12" s="11">
        <v>16</v>
      </c>
      <c r="K12" s="12">
        <v>2</v>
      </c>
      <c r="L12" s="9">
        <v>27373.52</v>
      </c>
      <c r="M12" s="11">
        <v>4738</v>
      </c>
      <c r="N12" s="13">
        <v>46024</v>
      </c>
      <c r="O12" s="42" t="s">
        <v>46</v>
      </c>
    </row>
    <row r="13" spans="1:15" s="21" customFormat="1" ht="24.9" customHeight="1">
      <c r="A13" s="7">
        <v>11</v>
      </c>
      <c r="B13" s="7">
        <v>9</v>
      </c>
      <c r="C13" s="8" t="s">
        <v>21</v>
      </c>
      <c r="D13" s="9">
        <v>4759.54</v>
      </c>
      <c r="E13" s="9">
        <v>10463.709999999999</v>
      </c>
      <c r="F13" s="10">
        <f>(D13-E13)/E13</f>
        <v>-0.54513838781846968</v>
      </c>
      <c r="G13" s="11">
        <v>688</v>
      </c>
      <c r="H13" s="11">
        <v>17</v>
      </c>
      <c r="I13" s="12">
        <f t="shared" si="1"/>
        <v>40.470588235294116</v>
      </c>
      <c r="J13" s="11">
        <v>5</v>
      </c>
      <c r="K13" s="12">
        <v>6</v>
      </c>
      <c r="L13" s="9">
        <v>335101.11</v>
      </c>
      <c r="M13" s="11">
        <v>45482</v>
      </c>
      <c r="N13" s="13">
        <v>45996</v>
      </c>
      <c r="O13" s="39" t="s">
        <v>207</v>
      </c>
    </row>
    <row r="14" spans="1:15" s="21" customFormat="1" ht="24.9" customHeight="1">
      <c r="A14" s="7">
        <v>12</v>
      </c>
      <c r="B14" s="9" t="s">
        <v>49</v>
      </c>
      <c r="C14" s="8" t="s">
        <v>70</v>
      </c>
      <c r="D14" s="9">
        <v>3333.08</v>
      </c>
      <c r="E14" s="9" t="s">
        <v>13</v>
      </c>
      <c r="F14" s="10" t="s">
        <v>13</v>
      </c>
      <c r="G14" s="11">
        <v>456</v>
      </c>
      <c r="H14" s="11">
        <v>16</v>
      </c>
      <c r="I14" s="12">
        <f t="shared" si="1"/>
        <v>28.5</v>
      </c>
      <c r="J14" s="11">
        <v>9</v>
      </c>
      <c r="K14" s="12">
        <v>1</v>
      </c>
      <c r="L14" s="9">
        <v>3333.08</v>
      </c>
      <c r="M14" s="11">
        <v>456</v>
      </c>
      <c r="N14" s="13">
        <v>46031</v>
      </c>
      <c r="O14" s="39" t="s">
        <v>76</v>
      </c>
    </row>
    <row r="15" spans="1:15" s="2" customFormat="1" ht="24.9" customHeight="1">
      <c r="A15" s="7">
        <v>13</v>
      </c>
      <c r="B15" s="7">
        <v>8</v>
      </c>
      <c r="C15" s="8" t="s">
        <v>33</v>
      </c>
      <c r="D15" s="9">
        <v>2701.64</v>
      </c>
      <c r="E15" s="9">
        <v>12956.87</v>
      </c>
      <c r="F15" s="10">
        <f>(D15-E15)/E15</f>
        <v>-0.79148976566099694</v>
      </c>
      <c r="G15" s="11">
        <v>358</v>
      </c>
      <c r="H15" s="11">
        <v>16</v>
      </c>
      <c r="I15" s="12">
        <f t="shared" si="1"/>
        <v>22.375</v>
      </c>
      <c r="J15" s="11">
        <v>7</v>
      </c>
      <c r="K15" s="12">
        <v>2</v>
      </c>
      <c r="L15" s="9">
        <v>20848.150000000001</v>
      </c>
      <c r="M15" s="11">
        <v>2860</v>
      </c>
      <c r="N15" s="13">
        <v>46024</v>
      </c>
      <c r="O15" s="39" t="s">
        <v>46</v>
      </c>
    </row>
    <row r="16" spans="1:15" s="2" customFormat="1" ht="24.9" customHeight="1">
      <c r="A16" s="7">
        <v>14</v>
      </c>
      <c r="B16" s="7" t="s">
        <v>49</v>
      </c>
      <c r="C16" s="8" t="s">
        <v>72</v>
      </c>
      <c r="D16" s="9">
        <v>2230</v>
      </c>
      <c r="E16" s="9" t="s">
        <v>13</v>
      </c>
      <c r="F16" s="10" t="s">
        <v>13</v>
      </c>
      <c r="G16" s="11">
        <v>363</v>
      </c>
      <c r="H16" s="11">
        <v>10</v>
      </c>
      <c r="I16" s="12">
        <f t="shared" si="1"/>
        <v>36.299999999999997</v>
      </c>
      <c r="J16" s="11">
        <v>8</v>
      </c>
      <c r="K16" s="12">
        <v>1</v>
      </c>
      <c r="L16" s="9">
        <v>2230</v>
      </c>
      <c r="M16" s="11">
        <v>363</v>
      </c>
      <c r="N16" s="20">
        <v>46031</v>
      </c>
      <c r="O16" s="39" t="s">
        <v>51</v>
      </c>
    </row>
    <row r="17" spans="1:15" s="2" customFormat="1" ht="24.9" customHeight="1">
      <c r="A17" s="7">
        <v>15</v>
      </c>
      <c r="B17" s="7">
        <v>10</v>
      </c>
      <c r="C17" s="8" t="s">
        <v>61</v>
      </c>
      <c r="D17" s="9">
        <v>2028.79</v>
      </c>
      <c r="E17" s="9">
        <v>9476.65</v>
      </c>
      <c r="F17" s="10">
        <f t="shared" ref="F17:F23" si="2">(D17-E17)/E17</f>
        <v>-0.78591696432811176</v>
      </c>
      <c r="G17" s="11">
        <v>277</v>
      </c>
      <c r="H17" s="11">
        <v>15</v>
      </c>
      <c r="I17" s="12">
        <f t="shared" si="1"/>
        <v>18.466666666666665</v>
      </c>
      <c r="J17" s="11">
        <v>7</v>
      </c>
      <c r="K17" s="12">
        <v>2</v>
      </c>
      <c r="L17" s="9">
        <v>15117.76</v>
      </c>
      <c r="M17" s="11">
        <v>2137</v>
      </c>
      <c r="N17" s="13">
        <v>46024</v>
      </c>
      <c r="O17" s="39" t="s">
        <v>37</v>
      </c>
    </row>
    <row r="18" spans="1:15" s="2" customFormat="1" ht="24.9" customHeight="1">
      <c r="A18" s="7">
        <v>16</v>
      </c>
      <c r="B18" s="14">
        <v>11</v>
      </c>
      <c r="C18" s="15" t="s">
        <v>20</v>
      </c>
      <c r="D18" s="16">
        <v>1814.6</v>
      </c>
      <c r="E18" s="16">
        <v>6811.08</v>
      </c>
      <c r="F18" s="17">
        <f t="shared" si="2"/>
        <v>-0.73358116480793056</v>
      </c>
      <c r="G18" s="18">
        <v>301</v>
      </c>
      <c r="H18" s="18">
        <v>10</v>
      </c>
      <c r="I18" s="19">
        <f t="shared" si="1"/>
        <v>30.1</v>
      </c>
      <c r="J18" s="18">
        <v>5</v>
      </c>
      <c r="K18" s="19">
        <v>4</v>
      </c>
      <c r="L18" s="16">
        <v>126708.2</v>
      </c>
      <c r="M18" s="18">
        <v>23184</v>
      </c>
      <c r="N18" s="20">
        <v>46010</v>
      </c>
      <c r="O18" s="40" t="s">
        <v>40</v>
      </c>
    </row>
    <row r="19" spans="1:15" s="2" customFormat="1" ht="24.9" customHeight="1">
      <c r="A19" s="7">
        <v>17</v>
      </c>
      <c r="B19" s="7">
        <v>13</v>
      </c>
      <c r="C19" s="8" t="s">
        <v>25</v>
      </c>
      <c r="D19" s="9">
        <v>1689</v>
      </c>
      <c r="E19" s="9">
        <v>2081</v>
      </c>
      <c r="F19" s="10">
        <f t="shared" si="2"/>
        <v>-0.18837097549255166</v>
      </c>
      <c r="G19" s="11">
        <v>242</v>
      </c>
      <c r="H19" s="12" t="s">
        <v>13</v>
      </c>
      <c r="I19" s="12" t="s">
        <v>13</v>
      </c>
      <c r="J19" s="11">
        <v>3</v>
      </c>
      <c r="K19" s="12">
        <v>7</v>
      </c>
      <c r="L19" s="9">
        <v>119452</v>
      </c>
      <c r="M19" s="11">
        <v>16973</v>
      </c>
      <c r="N19" s="13">
        <v>45989</v>
      </c>
      <c r="O19" s="39" t="s">
        <v>44</v>
      </c>
    </row>
    <row r="20" spans="1:15" s="21" customFormat="1" ht="24.9" customHeight="1">
      <c r="A20" s="7">
        <v>18</v>
      </c>
      <c r="B20" s="7">
        <v>15</v>
      </c>
      <c r="C20" s="8" t="s">
        <v>28</v>
      </c>
      <c r="D20" s="9">
        <v>828.16</v>
      </c>
      <c r="E20" s="9">
        <v>1411.87</v>
      </c>
      <c r="F20" s="10">
        <f t="shared" si="2"/>
        <v>-0.41343041498154925</v>
      </c>
      <c r="G20" s="11">
        <v>139</v>
      </c>
      <c r="H20" s="11">
        <v>3</v>
      </c>
      <c r="I20" s="12">
        <f>G20/H20</f>
        <v>46.333333333333336</v>
      </c>
      <c r="J20" s="11">
        <v>1</v>
      </c>
      <c r="K20" s="12">
        <v>8</v>
      </c>
      <c r="L20" s="9">
        <v>132809.78</v>
      </c>
      <c r="M20" s="11">
        <v>20278</v>
      </c>
      <c r="N20" s="13">
        <v>45982</v>
      </c>
      <c r="O20" s="39" t="s">
        <v>207</v>
      </c>
    </row>
    <row r="21" spans="1:15" s="21" customFormat="1" ht="24.9" customHeight="1">
      <c r="A21" s="7">
        <v>19</v>
      </c>
      <c r="B21" s="7">
        <v>17</v>
      </c>
      <c r="C21" s="8" t="s">
        <v>30</v>
      </c>
      <c r="D21" s="9">
        <v>566</v>
      </c>
      <c r="E21" s="9">
        <v>880</v>
      </c>
      <c r="F21" s="10">
        <f t="shared" si="2"/>
        <v>-0.35681818181818181</v>
      </c>
      <c r="G21" s="11">
        <v>69</v>
      </c>
      <c r="H21" s="12" t="s">
        <v>13</v>
      </c>
      <c r="I21" s="12" t="s">
        <v>13</v>
      </c>
      <c r="J21" s="11">
        <v>1</v>
      </c>
      <c r="K21" s="12">
        <v>6</v>
      </c>
      <c r="L21" s="9">
        <v>36521</v>
      </c>
      <c r="M21" s="11">
        <v>5081</v>
      </c>
      <c r="N21" s="13">
        <v>45996</v>
      </c>
      <c r="O21" s="39" t="s">
        <v>44</v>
      </c>
    </row>
    <row r="22" spans="1:15" s="2" customFormat="1" ht="24.9" customHeight="1">
      <c r="A22" s="7">
        <v>20</v>
      </c>
      <c r="B22" s="7">
        <v>22</v>
      </c>
      <c r="C22" s="8" t="s">
        <v>35</v>
      </c>
      <c r="D22" s="9">
        <v>492.25</v>
      </c>
      <c r="E22" s="9">
        <v>217.1</v>
      </c>
      <c r="F22" s="10">
        <f t="shared" si="2"/>
        <v>1.267388300322432</v>
      </c>
      <c r="G22" s="11">
        <v>99</v>
      </c>
      <c r="H22" s="11">
        <v>2</v>
      </c>
      <c r="I22" s="12">
        <f t="shared" ref="I22:I33" si="3">G22/H22</f>
        <v>49.5</v>
      </c>
      <c r="J22" s="11">
        <v>2</v>
      </c>
      <c r="K22" s="19" t="s">
        <v>13</v>
      </c>
      <c r="L22" s="9">
        <v>376953.59</v>
      </c>
      <c r="M22" s="11">
        <v>63567</v>
      </c>
      <c r="N22" s="13">
        <v>45744</v>
      </c>
      <c r="O22" s="39" t="s">
        <v>47</v>
      </c>
    </row>
    <row r="23" spans="1:15" s="21" customFormat="1" ht="24.9" customHeight="1">
      <c r="A23" s="7">
        <v>21</v>
      </c>
      <c r="B23" s="14">
        <v>18</v>
      </c>
      <c r="C23" s="15" t="s">
        <v>26</v>
      </c>
      <c r="D23" s="16">
        <v>489.2</v>
      </c>
      <c r="E23" s="16">
        <v>869.6</v>
      </c>
      <c r="F23" s="17">
        <f t="shared" si="2"/>
        <v>-0.43744250229990805</v>
      </c>
      <c r="G23" s="18">
        <v>65</v>
      </c>
      <c r="H23" s="18">
        <v>3</v>
      </c>
      <c r="I23" s="19">
        <f t="shared" si="3"/>
        <v>21.666666666666668</v>
      </c>
      <c r="J23" s="18">
        <v>2</v>
      </c>
      <c r="K23" s="19">
        <v>9</v>
      </c>
      <c r="L23" s="16">
        <v>320551.05</v>
      </c>
      <c r="M23" s="18">
        <v>41388</v>
      </c>
      <c r="N23" s="20">
        <v>45975</v>
      </c>
      <c r="O23" s="40" t="s">
        <v>42</v>
      </c>
    </row>
    <row r="24" spans="1:15" s="2" customFormat="1" ht="24.75" customHeight="1">
      <c r="A24" s="7">
        <v>22</v>
      </c>
      <c r="B24" s="16" t="s">
        <v>13</v>
      </c>
      <c r="C24" s="8" t="s">
        <v>68</v>
      </c>
      <c r="D24" s="9">
        <v>447</v>
      </c>
      <c r="E24" s="9" t="s">
        <v>13</v>
      </c>
      <c r="F24" s="10" t="s">
        <v>13</v>
      </c>
      <c r="G24" s="11">
        <v>53</v>
      </c>
      <c r="H24" s="11">
        <v>1</v>
      </c>
      <c r="I24" s="12">
        <f t="shared" si="3"/>
        <v>53</v>
      </c>
      <c r="J24" s="11">
        <v>1</v>
      </c>
      <c r="K24" s="9" t="s">
        <v>13</v>
      </c>
      <c r="L24" s="9">
        <v>67778.94</v>
      </c>
      <c r="M24" s="11">
        <v>11138</v>
      </c>
      <c r="N24" s="13">
        <v>45954</v>
      </c>
      <c r="O24" s="39" t="s">
        <v>47</v>
      </c>
    </row>
    <row r="25" spans="1:15" ht="24.75" customHeight="1">
      <c r="A25" s="7">
        <v>23</v>
      </c>
      <c r="B25" s="9" t="s">
        <v>13</v>
      </c>
      <c r="C25" s="8" t="s">
        <v>73</v>
      </c>
      <c r="D25" s="9">
        <v>367.5</v>
      </c>
      <c r="E25" s="9" t="s">
        <v>13</v>
      </c>
      <c r="F25" s="10" t="s">
        <v>13</v>
      </c>
      <c r="G25" s="11">
        <v>63</v>
      </c>
      <c r="H25" s="11">
        <v>2</v>
      </c>
      <c r="I25" s="12">
        <f t="shared" si="3"/>
        <v>31.5</v>
      </c>
      <c r="J25" s="11">
        <v>2</v>
      </c>
      <c r="K25" s="9" t="s">
        <v>13</v>
      </c>
      <c r="L25" s="9">
        <v>7391.5</v>
      </c>
      <c r="M25" s="11">
        <v>1314</v>
      </c>
      <c r="N25" s="13">
        <v>46003</v>
      </c>
      <c r="O25" s="39" t="s">
        <v>51</v>
      </c>
    </row>
    <row r="26" spans="1:15" ht="24.9" customHeight="1">
      <c r="A26" s="7">
        <v>24</v>
      </c>
      <c r="B26" s="14">
        <v>12</v>
      </c>
      <c r="C26" s="15" t="s">
        <v>24</v>
      </c>
      <c r="D26" s="45">
        <v>299</v>
      </c>
      <c r="E26" s="16">
        <v>3736.71</v>
      </c>
      <c r="F26" s="17">
        <f>(D26-E26)/E26</f>
        <v>-0.91998308672602369</v>
      </c>
      <c r="G26" s="46">
        <v>38</v>
      </c>
      <c r="H26" s="18">
        <v>2</v>
      </c>
      <c r="I26" s="19">
        <f t="shared" si="3"/>
        <v>19</v>
      </c>
      <c r="J26" s="18">
        <v>1</v>
      </c>
      <c r="K26" s="19">
        <v>8</v>
      </c>
      <c r="L26" s="45">
        <v>224227.5</v>
      </c>
      <c r="M26" s="46">
        <v>30155</v>
      </c>
      <c r="N26" s="20">
        <v>45982</v>
      </c>
      <c r="O26" s="40" t="s">
        <v>40</v>
      </c>
    </row>
    <row r="27" spans="1:15" ht="24.9" customHeight="1">
      <c r="A27" s="7">
        <v>25</v>
      </c>
      <c r="B27" s="14">
        <v>21</v>
      </c>
      <c r="C27" s="15" t="s">
        <v>54</v>
      </c>
      <c r="D27" s="16">
        <v>211.55</v>
      </c>
      <c r="E27" s="16">
        <v>316.35000000000002</v>
      </c>
      <c r="F27" s="17">
        <f>(D27-E27)/E27</f>
        <v>-0.33127864706812077</v>
      </c>
      <c r="G27" s="18">
        <v>24</v>
      </c>
      <c r="H27" s="18">
        <v>1</v>
      </c>
      <c r="I27" s="19">
        <f t="shared" si="3"/>
        <v>24</v>
      </c>
      <c r="J27" s="18"/>
      <c r="K27" s="19" t="s">
        <v>13</v>
      </c>
      <c r="L27" s="16">
        <v>311928.78000000003</v>
      </c>
      <c r="M27" s="18">
        <v>40370</v>
      </c>
      <c r="N27" s="20">
        <v>45926</v>
      </c>
      <c r="O27" s="40" t="s">
        <v>55</v>
      </c>
    </row>
    <row r="28" spans="1:15" ht="24.9" customHeight="1">
      <c r="A28" s="7">
        <v>26</v>
      </c>
      <c r="B28" s="7">
        <v>16</v>
      </c>
      <c r="C28" s="8" t="s">
        <v>32</v>
      </c>
      <c r="D28" s="9">
        <v>195.75</v>
      </c>
      <c r="E28" s="9">
        <v>1018.2</v>
      </c>
      <c r="F28" s="10">
        <f>(D28-E28)/E28</f>
        <v>-0.80774896876841484</v>
      </c>
      <c r="G28" s="11">
        <v>26</v>
      </c>
      <c r="H28" s="11">
        <v>1</v>
      </c>
      <c r="I28" s="12">
        <f t="shared" si="3"/>
        <v>26</v>
      </c>
      <c r="J28" s="11">
        <v>1</v>
      </c>
      <c r="K28" s="12">
        <v>11</v>
      </c>
      <c r="L28" s="9">
        <v>75810.710000000006</v>
      </c>
      <c r="M28" s="11">
        <v>11053</v>
      </c>
      <c r="N28" s="13">
        <v>45961</v>
      </c>
      <c r="O28" s="39" t="s">
        <v>207</v>
      </c>
    </row>
    <row r="29" spans="1:15" ht="24.9" customHeight="1">
      <c r="A29" s="7">
        <v>27</v>
      </c>
      <c r="B29" s="16" t="s">
        <v>13</v>
      </c>
      <c r="C29" s="15" t="s">
        <v>65</v>
      </c>
      <c r="D29" s="16">
        <v>68.849999999999994</v>
      </c>
      <c r="E29" s="16" t="s">
        <v>13</v>
      </c>
      <c r="F29" s="17" t="s">
        <v>13</v>
      </c>
      <c r="G29" s="18">
        <v>8</v>
      </c>
      <c r="H29" s="18">
        <v>1</v>
      </c>
      <c r="I29" s="19">
        <f t="shared" si="3"/>
        <v>8</v>
      </c>
      <c r="J29" s="18">
        <v>1</v>
      </c>
      <c r="K29" s="17" t="s">
        <v>13</v>
      </c>
      <c r="L29" s="16">
        <v>259525.41</v>
      </c>
      <c r="M29" s="18">
        <v>34711</v>
      </c>
      <c r="N29" s="20">
        <v>45891</v>
      </c>
      <c r="O29" s="40" t="s">
        <v>39</v>
      </c>
    </row>
    <row r="30" spans="1:15" ht="24.9" customHeight="1">
      <c r="A30" s="7">
        <v>28</v>
      </c>
      <c r="B30" s="9" t="s">
        <v>13</v>
      </c>
      <c r="C30" s="8" t="s">
        <v>60</v>
      </c>
      <c r="D30" s="9">
        <v>62</v>
      </c>
      <c r="E30" s="9" t="s">
        <v>13</v>
      </c>
      <c r="F30" s="10" t="s">
        <v>13</v>
      </c>
      <c r="G30" s="11">
        <v>11</v>
      </c>
      <c r="H30" s="11">
        <v>2</v>
      </c>
      <c r="I30" s="12">
        <f t="shared" si="3"/>
        <v>5.5</v>
      </c>
      <c r="J30" s="11">
        <v>2</v>
      </c>
      <c r="K30" s="9" t="s">
        <v>13</v>
      </c>
      <c r="L30" s="9">
        <v>8375.67</v>
      </c>
      <c r="M30" s="11">
        <v>1148</v>
      </c>
      <c r="N30" s="13">
        <v>46017</v>
      </c>
      <c r="O30" s="39" t="s">
        <v>43</v>
      </c>
    </row>
    <row r="31" spans="1:15" ht="24.9" customHeight="1">
      <c r="A31" s="7">
        <v>29</v>
      </c>
      <c r="B31" s="16" t="s">
        <v>13</v>
      </c>
      <c r="C31" s="15" t="s">
        <v>66</v>
      </c>
      <c r="D31" s="16">
        <v>30.6</v>
      </c>
      <c r="E31" s="16" t="s">
        <v>13</v>
      </c>
      <c r="F31" s="17" t="s">
        <v>13</v>
      </c>
      <c r="G31" s="18">
        <v>6</v>
      </c>
      <c r="H31" s="18">
        <v>1</v>
      </c>
      <c r="I31" s="19">
        <f t="shared" si="3"/>
        <v>6</v>
      </c>
      <c r="J31" s="18">
        <v>1</v>
      </c>
      <c r="K31" s="16" t="s">
        <v>13</v>
      </c>
      <c r="L31" s="16">
        <v>22095.54</v>
      </c>
      <c r="M31" s="18">
        <v>3998</v>
      </c>
      <c r="N31" s="20">
        <v>45611</v>
      </c>
      <c r="O31" s="40" t="s">
        <v>42</v>
      </c>
    </row>
    <row r="32" spans="1:15" ht="24.9" customHeight="1">
      <c r="A32" s="7">
        <v>30</v>
      </c>
      <c r="B32" s="16" t="s">
        <v>13</v>
      </c>
      <c r="C32" s="15" t="s">
        <v>67</v>
      </c>
      <c r="D32" s="16">
        <v>25.2</v>
      </c>
      <c r="E32" s="16" t="s">
        <v>13</v>
      </c>
      <c r="F32" s="17" t="s">
        <v>13</v>
      </c>
      <c r="G32" s="18">
        <v>6</v>
      </c>
      <c r="H32" s="18">
        <v>1</v>
      </c>
      <c r="I32" s="19">
        <f t="shared" si="3"/>
        <v>6</v>
      </c>
      <c r="J32" s="18">
        <v>1</v>
      </c>
      <c r="K32" s="16" t="s">
        <v>13</v>
      </c>
      <c r="L32" s="16">
        <v>25309.83</v>
      </c>
      <c r="M32" s="18">
        <v>4749</v>
      </c>
      <c r="N32" s="20">
        <v>45695</v>
      </c>
      <c r="O32" s="40" t="s">
        <v>42</v>
      </c>
    </row>
    <row r="33" spans="1:15" s="44" customFormat="1" ht="24.9" customHeight="1">
      <c r="A33" s="7">
        <v>31</v>
      </c>
      <c r="B33" s="7">
        <v>24</v>
      </c>
      <c r="C33" s="8" t="s">
        <v>56</v>
      </c>
      <c r="D33" s="9">
        <v>22.8</v>
      </c>
      <c r="E33" s="9">
        <v>72</v>
      </c>
      <c r="F33" s="10">
        <f>(D33-E33)/E33</f>
        <v>-0.68333333333333335</v>
      </c>
      <c r="G33" s="11">
        <v>5</v>
      </c>
      <c r="H33" s="11">
        <v>1</v>
      </c>
      <c r="I33" s="12">
        <f t="shared" si="3"/>
        <v>5</v>
      </c>
      <c r="J33" s="11">
        <v>1</v>
      </c>
      <c r="K33" s="12" t="s">
        <v>13</v>
      </c>
      <c r="L33" s="9">
        <v>295045.76000000001</v>
      </c>
      <c r="M33" s="11">
        <v>55186</v>
      </c>
      <c r="N33" s="13">
        <v>45562</v>
      </c>
      <c r="O33" s="39" t="s">
        <v>42</v>
      </c>
    </row>
    <row r="34" spans="1:15" s="44" customFormat="1" ht="24.9" customHeight="1">
      <c r="A34" s="7">
        <v>32</v>
      </c>
      <c r="B34" s="9" t="s">
        <v>13</v>
      </c>
      <c r="C34" s="8" t="s">
        <v>69</v>
      </c>
      <c r="D34" s="9">
        <v>10</v>
      </c>
      <c r="E34" s="9" t="s">
        <v>13</v>
      </c>
      <c r="F34" s="10" t="s">
        <v>13</v>
      </c>
      <c r="G34" s="11">
        <v>2</v>
      </c>
      <c r="H34" s="9" t="s">
        <v>13</v>
      </c>
      <c r="I34" s="10" t="s">
        <v>13</v>
      </c>
      <c r="J34" s="11">
        <v>1</v>
      </c>
      <c r="K34" s="9" t="s">
        <v>13</v>
      </c>
      <c r="L34" s="9">
        <v>113675</v>
      </c>
      <c r="M34" s="11">
        <v>21418</v>
      </c>
      <c r="N34" s="13">
        <v>45954</v>
      </c>
      <c r="O34" s="39" t="s">
        <v>44</v>
      </c>
    </row>
    <row r="35" spans="1:15" ht="24.75" customHeight="1">
      <c r="A35" s="25" t="s">
        <v>14</v>
      </c>
      <c r="B35" s="26" t="s">
        <v>14</v>
      </c>
      <c r="C35" s="29" t="s">
        <v>75</v>
      </c>
      <c r="D35" s="27">
        <f>SUBTOTAL(109,Table132[Pajamos 
(GBO)])</f>
        <v>577696.16</v>
      </c>
      <c r="E35" s="27" t="s">
        <v>63</v>
      </c>
      <c r="F35" s="43">
        <f>(D35-E35)/E35</f>
        <v>0.17055332668725337</v>
      </c>
      <c r="G35" s="34">
        <f>SUBTOTAL(109,Table132[Žiūrovų sk. 
(ADM)])</f>
        <v>74325</v>
      </c>
      <c r="H35" s="36"/>
      <c r="I35" s="25"/>
      <c r="J35" s="36"/>
      <c r="K35" s="25"/>
      <c r="L35" s="32"/>
      <c r="M35" s="36"/>
      <c r="N35" s="38"/>
      <c r="O35" s="41"/>
    </row>
    <row r="36" spans="1:15"/>
    <row r="37" spans="1:15"/>
    <row r="38" spans="1:15"/>
    <row r="39" spans="1:15"/>
    <row r="40" spans="1:15"/>
    <row r="41" spans="1:15"/>
    <row r="42" spans="1:15"/>
    <row r="43" spans="1:15"/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BA373-81AB-43BB-AE96-6182F255C705}">
  <sheetPr>
    <pageSetUpPr fitToPage="1"/>
  </sheetPr>
  <dimension ref="A1:XFC33"/>
  <sheetViews>
    <sheetView topLeftCell="A7" zoomScale="60" zoomScaleNormal="60" workbookViewId="0">
      <selection activeCell="O25" sqref="O25"/>
    </sheetView>
  </sheetViews>
  <sheetFormatPr defaultColWidth="0" defaultRowHeight="11.4" zeroHeight="1"/>
  <cols>
    <col min="1" max="2" width="4.75" style="1" customWidth="1"/>
    <col min="3" max="3" width="30.75" style="30" customWidth="1"/>
    <col min="4" max="5" width="20.75" style="3" customWidth="1"/>
    <col min="6" max="6" width="20.75" style="1" customWidth="1"/>
    <col min="7" max="8" width="20.75" style="35" customWidth="1"/>
    <col min="9" max="9" width="20.75" style="1" customWidth="1"/>
    <col min="10" max="10" width="20.75" style="35" customWidth="1"/>
    <col min="11" max="11" width="20.75" style="1" customWidth="1"/>
    <col min="12" max="12" width="20.75" style="3" customWidth="1"/>
    <col min="13" max="13" width="20.75" style="35" customWidth="1"/>
    <col min="14" max="14" width="20.75" style="6" customWidth="1"/>
    <col min="15" max="15" width="30.75" style="30" customWidth="1"/>
    <col min="16" max="16383" width="18.25" style="1" hidden="1"/>
    <col min="16384" max="16384" width="5.375" style="1" hidden="1"/>
  </cols>
  <sheetData>
    <row r="1" spans="1:15" s="4" customFormat="1" ht="40.5" customHeight="1" thickBot="1">
      <c r="A1" s="96" t="s">
        <v>103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s="5" customFormat="1" ht="63.75" customHeight="1" thickBot="1">
      <c r="A2" s="24" t="s">
        <v>14</v>
      </c>
      <c r="B2" s="28" t="s">
        <v>15</v>
      </c>
      <c r="C2" s="24" t="s">
        <v>0</v>
      </c>
      <c r="D2" s="31" t="s">
        <v>1</v>
      </c>
      <c r="E2" s="31" t="s">
        <v>2</v>
      </c>
      <c r="F2" s="24" t="s">
        <v>3</v>
      </c>
      <c r="G2" s="33" t="s">
        <v>4</v>
      </c>
      <c r="H2" s="33" t="s">
        <v>5</v>
      </c>
      <c r="I2" s="24" t="s">
        <v>6</v>
      </c>
      <c r="J2" s="33" t="s">
        <v>7</v>
      </c>
      <c r="K2" s="24" t="s">
        <v>8</v>
      </c>
      <c r="L2" s="31" t="s">
        <v>9</v>
      </c>
      <c r="M2" s="33" t="s">
        <v>10</v>
      </c>
      <c r="N2" s="37" t="s">
        <v>11</v>
      </c>
      <c r="O2" s="24" t="s">
        <v>12</v>
      </c>
    </row>
    <row r="3" spans="1:15" s="2" customFormat="1" ht="24.9" customHeight="1">
      <c r="A3" s="7">
        <v>1</v>
      </c>
      <c r="B3" s="7">
        <v>1</v>
      </c>
      <c r="C3" s="8" t="s">
        <v>16</v>
      </c>
      <c r="D3" s="9">
        <v>237921.73</v>
      </c>
      <c r="E3" s="9">
        <v>332899.43</v>
      </c>
      <c r="F3" s="10">
        <f>(D3-E3)/E3</f>
        <v>-0.28530448369947642</v>
      </c>
      <c r="G3" s="11">
        <v>25681</v>
      </c>
      <c r="H3" s="11">
        <v>225</v>
      </c>
      <c r="I3" s="12">
        <f>G3/H3</f>
        <v>114.13777777777777</v>
      </c>
      <c r="J3" s="11">
        <v>32</v>
      </c>
      <c r="K3" s="12">
        <v>3</v>
      </c>
      <c r="L3" s="9">
        <v>1397657.62</v>
      </c>
      <c r="M3" s="11">
        <v>155253</v>
      </c>
      <c r="N3" s="13">
        <v>46010</v>
      </c>
      <c r="O3" s="39" t="s">
        <v>37</v>
      </c>
    </row>
    <row r="4" spans="1:15" s="2" customFormat="1" ht="24.9" customHeight="1">
      <c r="A4" s="7">
        <v>2</v>
      </c>
      <c r="B4" s="7">
        <v>3</v>
      </c>
      <c r="C4" s="8" t="s">
        <v>18</v>
      </c>
      <c r="D4" s="23">
        <v>79664.77</v>
      </c>
      <c r="E4" s="9">
        <v>73997.81</v>
      </c>
      <c r="F4" s="10">
        <f>(D4-E4)/E4</f>
        <v>7.6582806977666049E-2</v>
      </c>
      <c r="G4" s="22">
        <v>11941</v>
      </c>
      <c r="H4" s="11">
        <v>127</v>
      </c>
      <c r="I4" s="12">
        <f>G4/H4</f>
        <v>94.023622047244089</v>
      </c>
      <c r="J4" s="11">
        <v>20</v>
      </c>
      <c r="K4" s="12">
        <v>6</v>
      </c>
      <c r="L4" s="23">
        <v>1019028.51</v>
      </c>
      <c r="M4" s="22">
        <v>161683</v>
      </c>
      <c r="N4" s="13">
        <v>45989</v>
      </c>
      <c r="O4" s="39" t="s">
        <v>37</v>
      </c>
    </row>
    <row r="5" spans="1:15" s="2" customFormat="1" ht="24.9" customHeight="1">
      <c r="A5" s="7">
        <v>3</v>
      </c>
      <c r="B5" s="7">
        <v>2</v>
      </c>
      <c r="C5" s="8" t="s">
        <v>17</v>
      </c>
      <c r="D5" s="9">
        <v>48189.15</v>
      </c>
      <c r="E5" s="9">
        <v>87877.06</v>
      </c>
      <c r="F5" s="10">
        <f>(D5-E5)/E5</f>
        <v>-0.45162992480631459</v>
      </c>
      <c r="G5" s="11">
        <v>7658</v>
      </c>
      <c r="H5" s="11">
        <v>111</v>
      </c>
      <c r="I5" s="12">
        <f>G5/H5</f>
        <v>68.990990990990994</v>
      </c>
      <c r="J5" s="11">
        <v>21</v>
      </c>
      <c r="K5" s="12">
        <v>2</v>
      </c>
      <c r="L5" s="9">
        <v>213542.82</v>
      </c>
      <c r="M5" s="11">
        <v>34921</v>
      </c>
      <c r="N5" s="13">
        <v>46017</v>
      </c>
      <c r="O5" s="39" t="s">
        <v>38</v>
      </c>
    </row>
    <row r="6" spans="1:15" s="2" customFormat="1" ht="24.9" customHeight="1">
      <c r="A6" s="7">
        <v>4</v>
      </c>
      <c r="B6" s="7" t="s">
        <v>49</v>
      </c>
      <c r="C6" s="15" t="s">
        <v>50</v>
      </c>
      <c r="D6" s="16">
        <v>22317</v>
      </c>
      <c r="E6" s="16" t="s">
        <v>13</v>
      </c>
      <c r="F6" s="10" t="s">
        <v>13</v>
      </c>
      <c r="G6" s="18">
        <v>3126</v>
      </c>
      <c r="H6" s="11">
        <v>49</v>
      </c>
      <c r="I6" s="12">
        <f>G6/H6</f>
        <v>63.795918367346935</v>
      </c>
      <c r="J6" s="11">
        <v>10</v>
      </c>
      <c r="K6" s="12">
        <v>1</v>
      </c>
      <c r="L6" s="9">
        <v>22317</v>
      </c>
      <c r="M6" s="11">
        <v>3126</v>
      </c>
      <c r="N6" s="13">
        <v>46024</v>
      </c>
      <c r="O6" s="39" t="s">
        <v>51</v>
      </c>
    </row>
    <row r="7" spans="1:15" s="2" customFormat="1" ht="24.9" customHeight="1">
      <c r="A7" s="7">
        <v>5</v>
      </c>
      <c r="B7" s="7">
        <v>7</v>
      </c>
      <c r="C7" s="8" t="s">
        <v>22</v>
      </c>
      <c r="D7" s="9">
        <v>19425.8</v>
      </c>
      <c r="E7" s="9">
        <v>16067.31</v>
      </c>
      <c r="F7" s="10">
        <f>(D7-E7)/E7</f>
        <v>0.20902627757851189</v>
      </c>
      <c r="G7" s="11">
        <v>2859</v>
      </c>
      <c r="H7" s="12" t="s">
        <v>13</v>
      </c>
      <c r="I7" s="12" t="s">
        <v>13</v>
      </c>
      <c r="J7" s="12" t="s">
        <v>13</v>
      </c>
      <c r="K7" s="12">
        <v>3</v>
      </c>
      <c r="L7" s="9">
        <v>81307.28</v>
      </c>
      <c r="M7" s="11">
        <v>12628</v>
      </c>
      <c r="N7" s="13">
        <v>46010</v>
      </c>
      <c r="O7" s="39" t="s">
        <v>41</v>
      </c>
    </row>
    <row r="8" spans="1:15" s="2" customFormat="1" ht="24.9" customHeight="1">
      <c r="A8" s="7">
        <v>6</v>
      </c>
      <c r="B8" s="7">
        <v>4</v>
      </c>
      <c r="C8" s="8" t="s">
        <v>19</v>
      </c>
      <c r="D8" s="9">
        <v>19295.669999999998</v>
      </c>
      <c r="E8" s="9">
        <v>32970.92</v>
      </c>
      <c r="F8" s="10">
        <f>(D8-E8)/E8</f>
        <v>-0.41476701287073581</v>
      </c>
      <c r="G8" s="11">
        <v>2450</v>
      </c>
      <c r="H8" s="11">
        <v>56</v>
      </c>
      <c r="I8" s="12">
        <f t="shared" ref="I8:I14" si="0">G8/H8</f>
        <v>43.75</v>
      </c>
      <c r="J8" s="11">
        <v>11</v>
      </c>
      <c r="K8" s="12">
        <v>2</v>
      </c>
      <c r="L8" s="9">
        <v>77041.429999999993</v>
      </c>
      <c r="M8" s="11">
        <v>10094</v>
      </c>
      <c r="N8" s="13">
        <v>46017</v>
      </c>
      <c r="O8" s="39" t="s">
        <v>39</v>
      </c>
    </row>
    <row r="9" spans="1:15" s="2" customFormat="1" ht="24.9" customHeight="1">
      <c r="A9" s="7">
        <v>7</v>
      </c>
      <c r="B9" s="7" t="s">
        <v>49</v>
      </c>
      <c r="C9" s="8" t="s">
        <v>29</v>
      </c>
      <c r="D9" s="9">
        <v>17957.86</v>
      </c>
      <c r="E9" s="9" t="s">
        <v>13</v>
      </c>
      <c r="F9" s="10" t="s">
        <v>13</v>
      </c>
      <c r="G9" s="11">
        <v>3037</v>
      </c>
      <c r="H9" s="11">
        <v>114</v>
      </c>
      <c r="I9" s="12">
        <f t="shared" si="0"/>
        <v>26.640350877192983</v>
      </c>
      <c r="J9" s="11">
        <v>20</v>
      </c>
      <c r="K9" s="12">
        <v>1</v>
      </c>
      <c r="L9" s="9">
        <v>20564.21</v>
      </c>
      <c r="M9" s="11">
        <v>3492</v>
      </c>
      <c r="N9" s="13">
        <v>46024</v>
      </c>
      <c r="O9" s="42" t="s">
        <v>46</v>
      </c>
    </row>
    <row r="10" spans="1:15" s="2" customFormat="1" ht="24.9" customHeight="1">
      <c r="A10" s="7">
        <v>8</v>
      </c>
      <c r="B10" s="7" t="s">
        <v>49</v>
      </c>
      <c r="C10" s="8" t="s">
        <v>33</v>
      </c>
      <c r="D10" s="9">
        <v>12956.87</v>
      </c>
      <c r="E10" s="9" t="s">
        <v>13</v>
      </c>
      <c r="F10" s="10" t="s">
        <v>13</v>
      </c>
      <c r="G10" s="11">
        <v>1688</v>
      </c>
      <c r="H10" s="11">
        <v>59</v>
      </c>
      <c r="I10" s="12">
        <f t="shared" si="0"/>
        <v>28.610169491525422</v>
      </c>
      <c r="J10" s="11">
        <v>18</v>
      </c>
      <c r="K10" s="12">
        <v>1</v>
      </c>
      <c r="L10" s="9">
        <v>13479.92</v>
      </c>
      <c r="M10" s="11">
        <v>1764</v>
      </c>
      <c r="N10" s="13">
        <v>46024</v>
      </c>
      <c r="O10" s="39" t="s">
        <v>46</v>
      </c>
    </row>
    <row r="11" spans="1:15" s="2" customFormat="1" ht="24.9" customHeight="1">
      <c r="A11" s="7">
        <v>9</v>
      </c>
      <c r="B11" s="7">
        <v>6</v>
      </c>
      <c r="C11" s="8" t="s">
        <v>21</v>
      </c>
      <c r="D11" s="9">
        <v>10463.709999999999</v>
      </c>
      <c r="E11" s="9">
        <v>19468.13</v>
      </c>
      <c r="F11" s="10">
        <f>(D11-E11)/E11</f>
        <v>-0.46252105363997476</v>
      </c>
      <c r="G11" s="11">
        <v>1492</v>
      </c>
      <c r="H11" s="11">
        <v>30</v>
      </c>
      <c r="I11" s="12">
        <f t="shared" si="0"/>
        <v>49.733333333333334</v>
      </c>
      <c r="J11" s="11">
        <v>6</v>
      </c>
      <c r="K11" s="12">
        <v>5</v>
      </c>
      <c r="L11" s="9">
        <v>328456.2</v>
      </c>
      <c r="M11" s="11">
        <v>44510</v>
      </c>
      <c r="N11" s="13">
        <v>45996</v>
      </c>
      <c r="O11" s="39" t="s">
        <v>207</v>
      </c>
    </row>
    <row r="12" spans="1:15" s="2" customFormat="1" ht="24.75" customHeight="1">
      <c r="A12" s="7">
        <v>10</v>
      </c>
      <c r="B12" s="7" t="s">
        <v>49</v>
      </c>
      <c r="C12" s="15" t="s">
        <v>61</v>
      </c>
      <c r="D12" s="16">
        <v>9476.65</v>
      </c>
      <c r="E12" s="16" t="s">
        <v>13</v>
      </c>
      <c r="F12" s="10" t="s">
        <v>13</v>
      </c>
      <c r="G12" s="18">
        <v>1241</v>
      </c>
      <c r="H12" s="11">
        <v>67</v>
      </c>
      <c r="I12" s="12">
        <f t="shared" si="0"/>
        <v>18.522388059701491</v>
      </c>
      <c r="J12" s="11">
        <v>15</v>
      </c>
      <c r="K12" s="12">
        <v>1</v>
      </c>
      <c r="L12" s="9">
        <v>9920.15</v>
      </c>
      <c r="M12" s="11">
        <v>1302</v>
      </c>
      <c r="N12" s="13">
        <v>46024</v>
      </c>
      <c r="O12" s="39" t="s">
        <v>37</v>
      </c>
    </row>
    <row r="13" spans="1:15" s="21" customFormat="1" ht="24.9" customHeight="1">
      <c r="A13" s="7">
        <v>11</v>
      </c>
      <c r="B13" s="7">
        <v>5</v>
      </c>
      <c r="C13" s="8" t="s">
        <v>20</v>
      </c>
      <c r="D13" s="9">
        <v>6811.08</v>
      </c>
      <c r="E13" s="9">
        <v>21294.52</v>
      </c>
      <c r="F13" s="10">
        <f t="shared" ref="F13:F21" si="1">(D13-E13)/E13</f>
        <v>-0.68014869553293522</v>
      </c>
      <c r="G13" s="11">
        <v>1097</v>
      </c>
      <c r="H13" s="11">
        <v>33</v>
      </c>
      <c r="I13" s="12">
        <f t="shared" si="0"/>
        <v>33.242424242424242</v>
      </c>
      <c r="J13" s="11">
        <v>9</v>
      </c>
      <c r="K13" s="12">
        <v>3</v>
      </c>
      <c r="L13" s="9">
        <v>109124.38</v>
      </c>
      <c r="M13" s="11">
        <v>19982</v>
      </c>
      <c r="N13" s="13">
        <v>46010</v>
      </c>
      <c r="O13" s="39" t="s">
        <v>40</v>
      </c>
    </row>
    <row r="14" spans="1:15" s="21" customFormat="1" ht="24.9" customHeight="1">
      <c r="A14" s="7">
        <v>12</v>
      </c>
      <c r="B14" s="7">
        <v>10</v>
      </c>
      <c r="C14" s="8" t="s">
        <v>24</v>
      </c>
      <c r="D14" s="23">
        <v>3736.71</v>
      </c>
      <c r="E14" s="9">
        <v>7124.08</v>
      </c>
      <c r="F14" s="10">
        <f t="shared" si="1"/>
        <v>-0.4754817464149757</v>
      </c>
      <c r="G14" s="22">
        <v>437</v>
      </c>
      <c r="H14" s="11">
        <v>10</v>
      </c>
      <c r="I14" s="12">
        <f t="shared" si="0"/>
        <v>43.7</v>
      </c>
      <c r="J14" s="11">
        <v>3</v>
      </c>
      <c r="K14" s="12">
        <v>7</v>
      </c>
      <c r="L14" s="23">
        <v>222301.65</v>
      </c>
      <c r="M14" s="22">
        <v>29898</v>
      </c>
      <c r="N14" s="13">
        <v>45982</v>
      </c>
      <c r="O14" s="39" t="s">
        <v>40</v>
      </c>
    </row>
    <row r="15" spans="1:15" s="2" customFormat="1" ht="24.9" customHeight="1">
      <c r="A15" s="7">
        <v>13</v>
      </c>
      <c r="B15" s="14">
        <v>11</v>
      </c>
      <c r="C15" s="15" t="s">
        <v>25</v>
      </c>
      <c r="D15" s="16">
        <v>2081</v>
      </c>
      <c r="E15" s="16">
        <v>5986</v>
      </c>
      <c r="F15" s="17">
        <f t="shared" si="1"/>
        <v>-0.65235549615770128</v>
      </c>
      <c r="G15" s="18">
        <v>281</v>
      </c>
      <c r="H15" s="19" t="s">
        <v>13</v>
      </c>
      <c r="I15" s="19" t="s">
        <v>13</v>
      </c>
      <c r="J15" s="18">
        <v>3</v>
      </c>
      <c r="K15" s="19">
        <v>6</v>
      </c>
      <c r="L15" s="9">
        <v>116521</v>
      </c>
      <c r="M15" s="11">
        <v>16510</v>
      </c>
      <c r="N15" s="20">
        <v>45989</v>
      </c>
      <c r="O15" s="40" t="s">
        <v>44</v>
      </c>
    </row>
    <row r="16" spans="1:15" s="2" customFormat="1" ht="24.9" customHeight="1">
      <c r="A16" s="7">
        <v>14</v>
      </c>
      <c r="B16" s="7">
        <v>8</v>
      </c>
      <c r="C16" s="8" t="s">
        <v>23</v>
      </c>
      <c r="D16" s="9">
        <v>1916.4</v>
      </c>
      <c r="E16" s="9">
        <v>9241.93</v>
      </c>
      <c r="F16" s="10">
        <f t="shared" si="1"/>
        <v>-0.79264071465592145</v>
      </c>
      <c r="G16" s="11">
        <v>309</v>
      </c>
      <c r="H16" s="11">
        <v>18</v>
      </c>
      <c r="I16" s="12">
        <f>G16/H16</f>
        <v>17.166666666666668</v>
      </c>
      <c r="J16" s="11">
        <v>5</v>
      </c>
      <c r="K16" s="12">
        <v>4</v>
      </c>
      <c r="L16" s="9">
        <v>80610.97</v>
      </c>
      <c r="M16" s="11">
        <v>13603</v>
      </c>
      <c r="N16" s="13">
        <v>46003</v>
      </c>
      <c r="O16" s="39" t="s">
        <v>42</v>
      </c>
    </row>
    <row r="17" spans="1:15" s="2" customFormat="1" ht="24.9" customHeight="1">
      <c r="A17" s="7">
        <v>15</v>
      </c>
      <c r="B17" s="7">
        <v>15</v>
      </c>
      <c r="C17" s="8" t="s">
        <v>28</v>
      </c>
      <c r="D17" s="9">
        <v>1411.87</v>
      </c>
      <c r="E17" s="9">
        <v>1528.19</v>
      </c>
      <c r="F17" s="10">
        <f t="shared" si="1"/>
        <v>-7.6116189740804585E-2</v>
      </c>
      <c r="G17" s="11">
        <v>233</v>
      </c>
      <c r="H17" s="11">
        <v>3</v>
      </c>
      <c r="I17" s="12">
        <f>G17/H17</f>
        <v>77.666666666666671</v>
      </c>
      <c r="J17" s="11">
        <v>1</v>
      </c>
      <c r="K17" s="12">
        <v>7</v>
      </c>
      <c r="L17" s="9">
        <v>131816.51999999999</v>
      </c>
      <c r="M17" s="11">
        <v>20108</v>
      </c>
      <c r="N17" s="13">
        <v>45982</v>
      </c>
      <c r="O17" s="39" t="s">
        <v>207</v>
      </c>
    </row>
    <row r="18" spans="1:15" s="2" customFormat="1" ht="24.9" customHeight="1">
      <c r="A18" s="7">
        <v>16</v>
      </c>
      <c r="B18" s="7">
        <v>21</v>
      </c>
      <c r="C18" s="8" t="s">
        <v>32</v>
      </c>
      <c r="D18" s="9">
        <v>1018.2</v>
      </c>
      <c r="E18" s="9">
        <v>466.23</v>
      </c>
      <c r="F18" s="10">
        <f t="shared" si="1"/>
        <v>1.1839006498938291</v>
      </c>
      <c r="G18" s="11">
        <v>126</v>
      </c>
      <c r="H18" s="11">
        <v>3</v>
      </c>
      <c r="I18" s="12">
        <f>G18/H18</f>
        <v>42</v>
      </c>
      <c r="J18" s="11">
        <v>1</v>
      </c>
      <c r="K18" s="12">
        <v>10</v>
      </c>
      <c r="L18" s="9">
        <v>75514.16</v>
      </c>
      <c r="M18" s="11">
        <v>11015</v>
      </c>
      <c r="N18" s="13">
        <v>45961</v>
      </c>
      <c r="O18" s="39" t="s">
        <v>207</v>
      </c>
    </row>
    <row r="19" spans="1:15" s="2" customFormat="1" ht="24.9" customHeight="1">
      <c r="A19" s="7">
        <v>17</v>
      </c>
      <c r="B19" s="7">
        <v>17</v>
      </c>
      <c r="C19" s="8" t="s">
        <v>30</v>
      </c>
      <c r="D19" s="9">
        <v>880</v>
      </c>
      <c r="E19" s="9">
        <v>776</v>
      </c>
      <c r="F19" s="10">
        <f t="shared" si="1"/>
        <v>0.13402061855670103</v>
      </c>
      <c r="G19" s="11">
        <v>114</v>
      </c>
      <c r="H19" s="11" t="s">
        <v>13</v>
      </c>
      <c r="I19" s="12" t="s">
        <v>13</v>
      </c>
      <c r="J19" s="11">
        <v>1</v>
      </c>
      <c r="K19" s="12">
        <v>5</v>
      </c>
      <c r="L19" s="9">
        <v>35716</v>
      </c>
      <c r="M19" s="11">
        <v>4980</v>
      </c>
      <c r="N19" s="13">
        <v>45996</v>
      </c>
      <c r="O19" s="39" t="s">
        <v>44</v>
      </c>
    </row>
    <row r="20" spans="1:15" s="21" customFormat="1" ht="24.9" customHeight="1">
      <c r="A20" s="7">
        <v>18</v>
      </c>
      <c r="B20" s="7">
        <v>13</v>
      </c>
      <c r="C20" s="8" t="s">
        <v>26</v>
      </c>
      <c r="D20" s="9">
        <v>869.6</v>
      </c>
      <c r="E20" s="9">
        <v>2919.4</v>
      </c>
      <c r="F20" s="10">
        <f t="shared" si="1"/>
        <v>-0.70213057477563889</v>
      </c>
      <c r="G20" s="11">
        <v>96</v>
      </c>
      <c r="H20" s="11">
        <v>2</v>
      </c>
      <c r="I20" s="12">
        <f t="shared" ref="I20:I32" si="2">G20/H20</f>
        <v>48</v>
      </c>
      <c r="J20" s="11">
        <v>1</v>
      </c>
      <c r="K20" s="12">
        <v>8</v>
      </c>
      <c r="L20" s="9">
        <v>320061.84999999998</v>
      </c>
      <c r="M20" s="11">
        <v>41323</v>
      </c>
      <c r="N20" s="13">
        <v>45975</v>
      </c>
      <c r="O20" s="39" t="s">
        <v>42</v>
      </c>
    </row>
    <row r="21" spans="1:15" s="21" customFormat="1" ht="24.9" customHeight="1">
      <c r="A21" s="7">
        <v>19</v>
      </c>
      <c r="B21" s="7">
        <v>9</v>
      </c>
      <c r="C21" s="8" t="s">
        <v>60</v>
      </c>
      <c r="D21" s="9">
        <v>516</v>
      </c>
      <c r="E21" s="9">
        <v>7518.67</v>
      </c>
      <c r="F21" s="10">
        <f t="shared" si="1"/>
        <v>-0.93137084085350197</v>
      </c>
      <c r="G21" s="11">
        <v>94</v>
      </c>
      <c r="H21" s="11">
        <v>4</v>
      </c>
      <c r="I21" s="12">
        <f t="shared" si="2"/>
        <v>23.5</v>
      </c>
      <c r="J21" s="11">
        <v>3</v>
      </c>
      <c r="K21" s="12">
        <v>2</v>
      </c>
      <c r="L21" s="9">
        <v>8240.67</v>
      </c>
      <c r="M21" s="11">
        <v>1123</v>
      </c>
      <c r="N21" s="13">
        <v>46017</v>
      </c>
      <c r="O21" s="39" t="s">
        <v>43</v>
      </c>
    </row>
    <row r="22" spans="1:15" s="2" customFormat="1" ht="24.9" customHeight="1">
      <c r="A22" s="7">
        <v>20</v>
      </c>
      <c r="B22" s="7" t="s">
        <v>53</v>
      </c>
      <c r="C22" s="15" t="s">
        <v>52</v>
      </c>
      <c r="D22" s="16">
        <v>353.05</v>
      </c>
      <c r="E22" s="16" t="s">
        <v>13</v>
      </c>
      <c r="F22" s="10" t="s">
        <v>13</v>
      </c>
      <c r="G22" s="18">
        <v>57</v>
      </c>
      <c r="H22" s="11">
        <v>2</v>
      </c>
      <c r="I22" s="12">
        <f t="shared" si="2"/>
        <v>28.5</v>
      </c>
      <c r="J22" s="11">
        <v>2</v>
      </c>
      <c r="K22" s="12">
        <v>0</v>
      </c>
      <c r="L22" s="9">
        <v>353.05</v>
      </c>
      <c r="M22" s="11">
        <v>57</v>
      </c>
      <c r="N22" s="13" t="s">
        <v>45</v>
      </c>
      <c r="O22" s="39" t="s">
        <v>42</v>
      </c>
    </row>
    <row r="23" spans="1:15" s="2" customFormat="1" ht="24.9" customHeight="1">
      <c r="A23" s="7">
        <v>21</v>
      </c>
      <c r="B23" s="7" t="s">
        <v>13</v>
      </c>
      <c r="C23" s="15" t="s">
        <v>54</v>
      </c>
      <c r="D23" s="16">
        <v>316.35000000000002</v>
      </c>
      <c r="E23" s="16" t="s">
        <v>13</v>
      </c>
      <c r="F23" s="10" t="s">
        <v>13</v>
      </c>
      <c r="G23" s="18">
        <v>42</v>
      </c>
      <c r="H23" s="11">
        <v>1</v>
      </c>
      <c r="I23" s="12">
        <f t="shared" si="2"/>
        <v>42</v>
      </c>
      <c r="J23" s="11">
        <v>1</v>
      </c>
      <c r="K23" s="12" t="s">
        <v>13</v>
      </c>
      <c r="L23" s="9">
        <v>311717.23</v>
      </c>
      <c r="M23" s="11">
        <v>40346</v>
      </c>
      <c r="N23" s="13">
        <v>45926</v>
      </c>
      <c r="O23" s="39" t="s">
        <v>55</v>
      </c>
    </row>
    <row r="24" spans="1:15" s="21" customFormat="1" ht="24.75" customHeight="1">
      <c r="A24" s="7">
        <v>22</v>
      </c>
      <c r="B24" s="7">
        <v>27</v>
      </c>
      <c r="C24" s="8" t="s">
        <v>35</v>
      </c>
      <c r="D24" s="9">
        <v>217.1</v>
      </c>
      <c r="E24" s="9">
        <v>144.19999999999999</v>
      </c>
      <c r="F24" s="10">
        <f>(D24-E24)/E24</f>
        <v>0.50554785020804449</v>
      </c>
      <c r="G24" s="11">
        <v>23</v>
      </c>
      <c r="H24" s="11">
        <v>1</v>
      </c>
      <c r="I24" s="12">
        <f t="shared" si="2"/>
        <v>23</v>
      </c>
      <c r="J24" s="11">
        <v>1</v>
      </c>
      <c r="K24" s="12" t="s">
        <v>13</v>
      </c>
      <c r="L24" s="9">
        <v>375911.95</v>
      </c>
      <c r="M24" s="11">
        <v>63330</v>
      </c>
      <c r="N24" s="13">
        <v>45744</v>
      </c>
      <c r="O24" s="39" t="s">
        <v>47</v>
      </c>
    </row>
    <row r="25" spans="1:15" ht="24.75" customHeight="1">
      <c r="A25" s="7">
        <v>23</v>
      </c>
      <c r="B25" s="7" t="s">
        <v>13</v>
      </c>
      <c r="C25" s="8" t="s">
        <v>48</v>
      </c>
      <c r="D25" s="9">
        <v>103</v>
      </c>
      <c r="E25" s="11" t="s">
        <v>13</v>
      </c>
      <c r="F25" s="12" t="s">
        <v>13</v>
      </c>
      <c r="G25" s="11">
        <v>17</v>
      </c>
      <c r="H25" s="11">
        <v>1</v>
      </c>
      <c r="I25" s="12">
        <f t="shared" si="2"/>
        <v>17</v>
      </c>
      <c r="J25" s="11">
        <v>1</v>
      </c>
      <c r="K25" s="12" t="s">
        <v>13</v>
      </c>
      <c r="L25" s="9">
        <v>3186.55</v>
      </c>
      <c r="M25" s="11">
        <v>621</v>
      </c>
      <c r="N25" s="13">
        <v>45740</v>
      </c>
      <c r="O25" s="39" t="s">
        <v>47</v>
      </c>
    </row>
    <row r="26" spans="1:15" ht="24.9" customHeight="1">
      <c r="A26" s="7">
        <v>24</v>
      </c>
      <c r="B26" s="7" t="s">
        <v>13</v>
      </c>
      <c r="C26" s="15" t="s">
        <v>56</v>
      </c>
      <c r="D26" s="16">
        <v>72</v>
      </c>
      <c r="E26" s="16" t="s">
        <v>13</v>
      </c>
      <c r="F26" s="10" t="s">
        <v>13</v>
      </c>
      <c r="G26" s="18">
        <v>15</v>
      </c>
      <c r="H26" s="11">
        <v>1</v>
      </c>
      <c r="I26" s="12">
        <f t="shared" si="2"/>
        <v>15</v>
      </c>
      <c r="J26" s="11">
        <v>1</v>
      </c>
      <c r="K26" s="12" t="s">
        <v>13</v>
      </c>
      <c r="L26" s="9">
        <v>295022.96000000002</v>
      </c>
      <c r="M26" s="11">
        <v>55181</v>
      </c>
      <c r="N26" s="13">
        <v>45562</v>
      </c>
      <c r="O26" s="39" t="s">
        <v>42</v>
      </c>
    </row>
    <row r="27" spans="1:15" ht="24.9" customHeight="1">
      <c r="A27" s="7">
        <v>25</v>
      </c>
      <c r="B27" s="7">
        <v>24</v>
      </c>
      <c r="C27" s="8" t="s">
        <v>34</v>
      </c>
      <c r="D27" s="9">
        <v>67.12</v>
      </c>
      <c r="E27" s="9">
        <v>312.10000000000002</v>
      </c>
      <c r="F27" s="10">
        <f>(D27-E27)/E27</f>
        <v>-0.78494072412688243</v>
      </c>
      <c r="G27" s="11">
        <v>12</v>
      </c>
      <c r="H27" s="11">
        <v>1</v>
      </c>
      <c r="I27" s="12">
        <f t="shared" si="2"/>
        <v>12</v>
      </c>
      <c r="J27" s="11">
        <v>1</v>
      </c>
      <c r="K27" s="12">
        <v>6</v>
      </c>
      <c r="L27" s="9">
        <v>6892.9800000000005</v>
      </c>
      <c r="M27" s="11">
        <v>1113</v>
      </c>
      <c r="N27" s="13">
        <v>45989</v>
      </c>
      <c r="O27" s="39" t="s">
        <v>46</v>
      </c>
    </row>
    <row r="28" spans="1:15" ht="24.9" customHeight="1">
      <c r="A28" s="7">
        <v>26</v>
      </c>
      <c r="B28" s="7" t="s">
        <v>13</v>
      </c>
      <c r="C28" s="15" t="s">
        <v>57</v>
      </c>
      <c r="D28" s="16">
        <v>52.8</v>
      </c>
      <c r="E28" s="16" t="s">
        <v>13</v>
      </c>
      <c r="F28" s="10" t="s">
        <v>13</v>
      </c>
      <c r="G28" s="18">
        <v>10</v>
      </c>
      <c r="H28" s="11">
        <v>1</v>
      </c>
      <c r="I28" s="12">
        <f t="shared" si="2"/>
        <v>10</v>
      </c>
      <c r="J28" s="11">
        <v>1</v>
      </c>
      <c r="K28" s="12" t="s">
        <v>13</v>
      </c>
      <c r="L28" s="9">
        <v>61679.69</v>
      </c>
      <c r="M28" s="11">
        <v>12761</v>
      </c>
      <c r="N28" s="13">
        <v>45765</v>
      </c>
      <c r="O28" s="39" t="s">
        <v>40</v>
      </c>
    </row>
    <row r="29" spans="1:15" ht="24.9" customHeight="1">
      <c r="A29" s="7">
        <v>27</v>
      </c>
      <c r="B29" s="7">
        <v>20</v>
      </c>
      <c r="C29" s="8" t="s">
        <v>31</v>
      </c>
      <c r="D29" s="9">
        <v>49</v>
      </c>
      <c r="E29" s="9">
        <v>530</v>
      </c>
      <c r="F29" s="10">
        <f>(D29-E29)/E29</f>
        <v>-0.90754716981132078</v>
      </c>
      <c r="G29" s="11">
        <v>9</v>
      </c>
      <c r="H29" s="11">
        <v>1</v>
      </c>
      <c r="I29" s="12">
        <f t="shared" si="2"/>
        <v>9</v>
      </c>
      <c r="J29" s="11">
        <v>1</v>
      </c>
      <c r="K29" s="12">
        <v>4</v>
      </c>
      <c r="L29" s="9">
        <v>14910.23</v>
      </c>
      <c r="M29" s="11">
        <v>2100</v>
      </c>
      <c r="N29" s="13">
        <v>46003</v>
      </c>
      <c r="O29" s="39" t="s">
        <v>42</v>
      </c>
    </row>
    <row r="30" spans="1:15" ht="24.9" customHeight="1">
      <c r="A30" s="7">
        <v>28</v>
      </c>
      <c r="B30" s="7" t="s">
        <v>13</v>
      </c>
      <c r="C30" s="15" t="s">
        <v>58</v>
      </c>
      <c r="D30" s="16">
        <v>33</v>
      </c>
      <c r="E30" s="16" t="s">
        <v>13</v>
      </c>
      <c r="F30" s="10" t="s">
        <v>13</v>
      </c>
      <c r="G30" s="18">
        <v>7</v>
      </c>
      <c r="H30" s="11">
        <v>1</v>
      </c>
      <c r="I30" s="12">
        <f t="shared" si="2"/>
        <v>7</v>
      </c>
      <c r="J30" s="11">
        <v>1</v>
      </c>
      <c r="K30" s="12" t="s">
        <v>13</v>
      </c>
      <c r="L30" s="9">
        <v>71765.539999999994</v>
      </c>
      <c r="M30" s="11">
        <v>14044</v>
      </c>
      <c r="N30" s="13">
        <v>45513</v>
      </c>
      <c r="O30" s="39" t="s">
        <v>42</v>
      </c>
    </row>
    <row r="31" spans="1:15" ht="24.9" customHeight="1">
      <c r="A31" s="7">
        <v>29</v>
      </c>
      <c r="B31" s="7" t="s">
        <v>13</v>
      </c>
      <c r="C31" s="15" t="s">
        <v>59</v>
      </c>
      <c r="D31" s="16">
        <v>30.6</v>
      </c>
      <c r="E31" s="16" t="s">
        <v>13</v>
      </c>
      <c r="F31" s="10" t="s">
        <v>13</v>
      </c>
      <c r="G31" s="18">
        <v>6</v>
      </c>
      <c r="H31" s="11">
        <v>1</v>
      </c>
      <c r="I31" s="12">
        <f t="shared" si="2"/>
        <v>6</v>
      </c>
      <c r="J31" s="11">
        <v>1</v>
      </c>
      <c r="K31" s="12" t="s">
        <v>13</v>
      </c>
      <c r="L31" s="9">
        <v>34991.199999999997</v>
      </c>
      <c r="M31" s="11">
        <v>6965</v>
      </c>
      <c r="N31" s="13">
        <v>45667</v>
      </c>
      <c r="O31" s="39" t="s">
        <v>42</v>
      </c>
    </row>
    <row r="32" spans="1:15" ht="24.75" customHeight="1">
      <c r="A32" s="7">
        <v>30</v>
      </c>
      <c r="B32" s="7">
        <v>14</v>
      </c>
      <c r="C32" s="8" t="s">
        <v>27</v>
      </c>
      <c r="D32" s="9">
        <v>6</v>
      </c>
      <c r="E32" s="9">
        <v>2745.74</v>
      </c>
      <c r="F32" s="10">
        <f>(D32-E32)/E32</f>
        <v>-0.99781479673967677</v>
      </c>
      <c r="G32" s="11">
        <v>2</v>
      </c>
      <c r="H32" s="11">
        <v>1</v>
      </c>
      <c r="I32" s="12">
        <f t="shared" si="2"/>
        <v>2</v>
      </c>
      <c r="J32" s="11">
        <v>1</v>
      </c>
      <c r="K32" s="12">
        <v>2</v>
      </c>
      <c r="L32" s="9">
        <v>5293.25</v>
      </c>
      <c r="M32" s="11">
        <v>747</v>
      </c>
      <c r="N32" s="13">
        <v>46017</v>
      </c>
      <c r="O32" s="39" t="s">
        <v>207</v>
      </c>
    </row>
    <row r="33" spans="1:15" ht="24.75" customHeight="1">
      <c r="A33" s="25" t="s">
        <v>14</v>
      </c>
      <c r="B33" s="26"/>
      <c r="C33" s="29" t="s">
        <v>62</v>
      </c>
      <c r="D33" s="27">
        <f>SUBTOTAL(109,Table13[Pajamos 
(GBO)])</f>
        <v>498210.08999999997</v>
      </c>
      <c r="E33" s="27" t="s">
        <v>36</v>
      </c>
      <c r="F33" s="43">
        <f>(D33-E33)/E33</f>
        <v>-0.21203825222173198</v>
      </c>
      <c r="G33" s="34">
        <f>SUBTOTAL(109,Table13[Žiūrovų sk. 
(ADM)])</f>
        <v>64160</v>
      </c>
      <c r="H33" s="36"/>
      <c r="I33" s="25"/>
      <c r="J33" s="36"/>
      <c r="K33" s="25"/>
      <c r="L33" s="32"/>
      <c r="M33" s="36"/>
      <c r="N33" s="38"/>
      <c r="O33" s="41"/>
    </row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09.25-09.27</vt:lpstr>
      <vt:lpstr>09.18-09.20</vt:lpstr>
      <vt:lpstr>09.11-09.13</vt:lpstr>
      <vt:lpstr>09.04-09.06</vt:lpstr>
      <vt:lpstr>08.28-08.30</vt:lpstr>
      <vt:lpstr>08.21-08.23</vt:lpstr>
      <vt:lpstr>08.14-08.16</vt:lpstr>
      <vt:lpstr>08.07-08.09</vt:lpstr>
      <vt:lpstr>07.31-08.02</vt:lpstr>
      <vt:lpstr>07.24-07.26</vt:lpstr>
      <vt:lpstr>07.17-07.19</vt:lpstr>
      <vt:lpstr>07.10-07.12</vt:lpstr>
      <vt:lpstr>07.03-07.05</vt:lpstr>
      <vt:lpstr>06.26-06.28</vt:lpstr>
      <vt:lpstr>06.19-06.21</vt:lpstr>
      <vt:lpstr>06.12-06.14</vt:lpstr>
      <vt:lpstr>06.05-06.07</vt:lpstr>
      <vt:lpstr>05.29-05.31</vt:lpstr>
      <vt:lpstr>05.22-05.24</vt:lpstr>
      <vt:lpstr>05.15-05.17</vt:lpstr>
      <vt:lpstr>05.08-05.10</vt:lpstr>
      <vt:lpstr>05.01-05.03</vt:lpstr>
      <vt:lpstr>04.24-04.26</vt:lpstr>
      <vt:lpstr>04.17-04.19</vt:lpstr>
      <vt:lpstr>04.10-04.12</vt:lpstr>
      <vt:lpstr>04.03-04.05</vt:lpstr>
      <vt:lpstr>03.27-03.29</vt:lpstr>
      <vt:lpstr>03.20-03.22</vt:lpstr>
      <vt:lpstr>03.13-03.15</vt:lpstr>
      <vt:lpstr>03.06-03.08</vt:lpstr>
      <vt:lpstr>02.27-03.01</vt:lpstr>
      <vt:lpstr>02.20-02.22</vt:lpstr>
      <vt:lpstr>02.13-02.15</vt:lpstr>
      <vt:lpstr>02.06-02.08</vt:lpstr>
      <vt:lpstr>01.30-02.01</vt:lpstr>
      <vt:lpstr>01.23-01.25</vt:lpstr>
      <vt:lpstr>01.16-01.18</vt:lpstr>
      <vt:lpstr>01.09-01.11</vt:lpstr>
      <vt:lpstr>01.02-01.04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Austė</dc:creator>
  <cp:keywords/>
  <dc:description/>
  <cp:lastModifiedBy>Monika Treikė</cp:lastModifiedBy>
  <cp:revision/>
  <dcterms:created xsi:type="dcterms:W3CDTF">2023-04-24T05:36:19Z</dcterms:created>
  <dcterms:modified xsi:type="dcterms:W3CDTF">2026-09-28T11:40:16Z</dcterms:modified>
  <cp:category/>
  <cp:contentStatus/>
</cp:coreProperties>
</file>